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270" yWindow="-45" windowWidth="13470" windowHeight="1218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指标" sheetId="69" r:id="rId11"/>
    <sheet name="拆分价值" sheetId="72"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车库" sheetId="71" r:id="rId32"/>
    <sheet name="不动产收益法-商业" sheetId="15"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0"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'不动产收益法-车库'!$A$1:$F$43,'不动产收益法-车库'!$H$3:$M$29,'不动产收益法-车库'!$A$46:$F$70,'不动产收益法-车库'!$I$46:$M$60</definedName>
    <definedName name="_xlnm.Print_Area" localSheetId="32">'不动产收益法-商业'!$A$1:$F$43,'不动产收益法-商业'!$H$3:$M$29,'不动产收益法-商业'!$A$46:$F$70,'不动产收益法-商业'!$I$46:$M$60</definedName>
    <definedName name="_xlnm.Print_Area" localSheetId="34">成本逼近法!$A$1:$G$23</definedName>
    <definedName name="_xlnm.Print_Area" localSheetId="16">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K12" i="72" l="1"/>
  <c r="J12" i="72"/>
  <c r="C15" i="66" l="1"/>
  <c r="B15" i="66"/>
  <c r="B14" i="66"/>
  <c r="N12" i="72"/>
  <c r="N11" i="72"/>
  <c r="A3" i="3" l="1"/>
  <c r="N14" i="72" l="1"/>
  <c r="G14" i="72"/>
  <c r="I14" i="72" l="1"/>
  <c r="T7" i="1"/>
  <c r="T8" i="1"/>
  <c r="T6" i="1"/>
  <c r="S36" i="6"/>
  <c r="C125" i="69"/>
  <c r="S35" i="6"/>
  <c r="N21" i="6"/>
  <c r="N20" i="6"/>
  <c r="N19" i="6"/>
  <c r="N39" i="6"/>
  <c r="O39" i="6"/>
  <c r="M39" i="6"/>
  <c r="O37" i="6"/>
  <c r="O36" i="6"/>
  <c r="N37" i="6"/>
  <c r="N36" i="6"/>
  <c r="M38" i="6"/>
  <c r="M37" i="6"/>
  <c r="M36" i="6"/>
  <c r="C33" i="21" l="1"/>
  <c r="L14" i="72" l="1"/>
  <c r="AN13" i="3" l="1"/>
  <c r="M13" i="3" l="1"/>
  <c r="G21" i="6"/>
  <c r="I9" i="39" l="1"/>
  <c r="G9" i="39"/>
  <c r="E9" i="39"/>
  <c r="I40" i="39"/>
  <c r="G40" i="39"/>
  <c r="E40" i="39"/>
  <c r="E119" i="39"/>
  <c r="F119" i="39" s="1"/>
  <c r="G119" i="39" s="1"/>
  <c r="H119" i="39" s="1"/>
  <c r="I119" i="39" s="1"/>
  <c r="D119" i="39"/>
  <c r="E118" i="39"/>
  <c r="F118" i="39" s="1"/>
  <c r="G118" i="39" s="1"/>
  <c r="H118" i="39" s="1"/>
  <c r="I118" i="39" s="1"/>
  <c r="D118" i="39"/>
  <c r="E72" i="39"/>
  <c r="F72" i="39" s="1"/>
  <c r="G72" i="39" s="1"/>
  <c r="H72" i="39" s="1"/>
  <c r="I72" i="39" s="1"/>
  <c r="J72" i="39" s="1"/>
  <c r="K72" i="39" s="1"/>
  <c r="L72" i="39" s="1"/>
  <c r="M72" i="39" s="1"/>
  <c r="N72" i="39" s="1"/>
  <c r="D72" i="39"/>
  <c r="I48" i="39"/>
  <c r="G48" i="39"/>
  <c r="E48" i="39"/>
  <c r="I7" i="39"/>
  <c r="G7" i="39"/>
  <c r="E7" i="39"/>
  <c r="C7" i="39"/>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E104" i="21"/>
  <c r="F104" i="21" s="1"/>
  <c r="G104" i="21" s="1"/>
  <c r="H104" i="21" s="1"/>
  <c r="I104" i="21" s="1"/>
  <c r="D104" i="21"/>
  <c r="E103" i="21"/>
  <c r="F103" i="21" s="1"/>
  <c r="G103" i="21" s="1"/>
  <c r="H103" i="21" s="1"/>
  <c r="I103" i="21" s="1"/>
  <c r="D103" i="21"/>
  <c r="AH8" i="1"/>
  <c r="F20" i="6"/>
  <c r="F19" i="6"/>
  <c r="AL13" i="3"/>
  <c r="K13" i="3"/>
  <c r="I13" i="3"/>
  <c r="AL296" i="69"/>
  <c r="C127" i="69"/>
  <c r="G120" i="69"/>
  <c r="D120" i="69"/>
  <c r="H120" i="69" s="1"/>
  <c r="L115" i="69"/>
  <c r="M115" i="69" s="1"/>
  <c r="J115" i="69"/>
  <c r="H115" i="69"/>
  <c r="K110" i="69"/>
  <c r="E110" i="69"/>
  <c r="F104" i="69" s="1"/>
  <c r="H104" i="69" s="1"/>
  <c r="L104" i="69"/>
  <c r="K104" i="69"/>
  <c r="H110" i="69" s="1"/>
  <c r="L103" i="69"/>
  <c r="H103" i="69"/>
  <c r="M103" i="69" s="1"/>
  <c r="J102" i="69"/>
  <c r="L102" i="69" s="1"/>
  <c r="H102" i="69"/>
  <c r="L101" i="69"/>
  <c r="H101" i="69"/>
  <c r="M101" i="69" s="1"/>
  <c r="L100" i="69"/>
  <c r="M100" i="69" s="1"/>
  <c r="H100" i="69"/>
  <c r="M99" i="69"/>
  <c r="L99" i="69"/>
  <c r="B95" i="69"/>
  <c r="H95" i="69" s="1"/>
  <c r="M95" i="69" s="1"/>
  <c r="J94" i="69"/>
  <c r="L94" i="69" s="1"/>
  <c r="B94" i="69"/>
  <c r="H94" i="69" s="1"/>
  <c r="L93" i="69"/>
  <c r="B93" i="69"/>
  <c r="H93" i="69" s="1"/>
  <c r="M93" i="69" s="1"/>
  <c r="L92" i="69"/>
  <c r="B92" i="69"/>
  <c r="H92" i="69" s="1"/>
  <c r="J91" i="69"/>
  <c r="L91" i="69" s="1"/>
  <c r="C91" i="69"/>
  <c r="C110" i="69" s="1"/>
  <c r="B91" i="69"/>
  <c r="G84" i="69"/>
  <c r="D84" i="69"/>
  <c r="B84" i="69"/>
  <c r="G83" i="69"/>
  <c r="G82" i="69"/>
  <c r="H82" i="69" s="1"/>
  <c r="E82" i="69"/>
  <c r="H81" i="69"/>
  <c r="G81" i="69"/>
  <c r="H80" i="69"/>
  <c r="G80" i="69"/>
  <c r="H79" i="69"/>
  <c r="G79" i="69"/>
  <c r="H78" i="69"/>
  <c r="G78" i="69"/>
  <c r="G71" i="69"/>
  <c r="E71" i="69"/>
  <c r="F70" i="69"/>
  <c r="H70" i="69" s="1"/>
  <c r="B70" i="69"/>
  <c r="D70" i="69" s="1"/>
  <c r="F69" i="69"/>
  <c r="H69" i="69" s="1"/>
  <c r="B69" i="69"/>
  <c r="D69" i="69" s="1"/>
  <c r="F68" i="69"/>
  <c r="H68" i="69" s="1"/>
  <c r="B68" i="69"/>
  <c r="D68" i="69" s="1"/>
  <c r="F67" i="69"/>
  <c r="H67" i="69" s="1"/>
  <c r="B67" i="69"/>
  <c r="D67" i="69" s="1"/>
  <c r="F66" i="69"/>
  <c r="H66" i="69" s="1"/>
  <c r="B66" i="69"/>
  <c r="D66" i="69" s="1"/>
  <c r="F65" i="69"/>
  <c r="H65" i="69" s="1"/>
  <c r="B65" i="69"/>
  <c r="D65" i="69" s="1"/>
  <c r="F64" i="69"/>
  <c r="H64" i="69" s="1"/>
  <c r="B64" i="69"/>
  <c r="D64" i="69" s="1"/>
  <c r="F63" i="69"/>
  <c r="H63" i="69" s="1"/>
  <c r="B63" i="69"/>
  <c r="D63" i="69" s="1"/>
  <c r="F62" i="69"/>
  <c r="H62" i="69" s="1"/>
  <c r="C62" i="69"/>
  <c r="B62" i="69"/>
  <c r="F61" i="69"/>
  <c r="C61" i="69"/>
  <c r="B61" i="69"/>
  <c r="K52" i="69"/>
  <c r="J52" i="69"/>
  <c r="L52" i="69" s="1"/>
  <c r="H52" i="69"/>
  <c r="I52" i="69" s="1"/>
  <c r="L47" i="69"/>
  <c r="M47" i="69" s="1"/>
  <c r="H47" i="69"/>
  <c r="L46" i="69"/>
  <c r="H46" i="69"/>
  <c r="M46" i="69" s="1"/>
  <c r="K45" i="69"/>
  <c r="J45" i="69"/>
  <c r="L45" i="69" s="1"/>
  <c r="M45" i="69" s="1"/>
  <c r="C45" i="69"/>
  <c r="H45" i="69" s="1"/>
  <c r="K44" i="69"/>
  <c r="J44" i="69"/>
  <c r="L44" i="69" s="1"/>
  <c r="M44" i="69" s="1"/>
  <c r="H44" i="69"/>
  <c r="K43" i="69"/>
  <c r="J43" i="69"/>
  <c r="L43" i="69" s="1"/>
  <c r="M43" i="69" s="1"/>
  <c r="H43" i="69"/>
  <c r="G36" i="69"/>
  <c r="F36" i="69"/>
  <c r="H36" i="69" s="1"/>
  <c r="D36" i="69"/>
  <c r="E36" i="69" s="1"/>
  <c r="Z32" i="69"/>
  <c r="W32" i="69"/>
  <c r="V32" i="69"/>
  <c r="U32" i="69"/>
  <c r="AB31" i="69"/>
  <c r="AA31" i="69"/>
  <c r="Z31" i="69"/>
  <c r="Y31" i="69"/>
  <c r="X31" i="69"/>
  <c r="W31" i="69"/>
  <c r="V31" i="69"/>
  <c r="U31" i="69"/>
  <c r="T31" i="69"/>
  <c r="S31" i="69"/>
  <c r="C30" i="69"/>
  <c r="B30" i="69"/>
  <c r="H29" i="69"/>
  <c r="I29" i="69" s="1"/>
  <c r="D29" i="69"/>
  <c r="H28" i="69"/>
  <c r="I28" i="69" s="1"/>
  <c r="D28" i="69"/>
  <c r="H27" i="69"/>
  <c r="D27" i="69"/>
  <c r="I27" i="69" s="1"/>
  <c r="P26" i="69"/>
  <c r="H26" i="69"/>
  <c r="D26" i="69"/>
  <c r="I26" i="69" s="1"/>
  <c r="AG25" i="69"/>
  <c r="AD25" i="69"/>
  <c r="AC25" i="69"/>
  <c r="AE25" i="69" s="1"/>
  <c r="AA25" i="69"/>
  <c r="Y25" i="69"/>
  <c r="AB25" i="69" s="1"/>
  <c r="P25" i="69"/>
  <c r="H25" i="69"/>
  <c r="D25" i="69"/>
  <c r="I25" i="69" s="1"/>
  <c r="AA24" i="69"/>
  <c r="AA27" i="69" s="1"/>
  <c r="Z24" i="69"/>
  <c r="W24" i="69"/>
  <c r="W27" i="69" s="1"/>
  <c r="V24" i="69"/>
  <c r="U24" i="69"/>
  <c r="S24" i="69"/>
  <c r="S27" i="69" s="1"/>
  <c r="H24" i="69"/>
  <c r="I24" i="69" s="1"/>
  <c r="D24" i="69"/>
  <c r="AD23" i="69"/>
  <c r="AA23" i="69"/>
  <c r="AB23" i="69" s="1"/>
  <c r="H23" i="69"/>
  <c r="I23" i="69" s="1"/>
  <c r="D23" i="69"/>
  <c r="AC22" i="69"/>
  <c r="AE22" i="69" s="1"/>
  <c r="X22" i="69"/>
  <c r="H22" i="69"/>
  <c r="I22" i="69" s="1"/>
  <c r="D22" i="69"/>
  <c r="AE21" i="69"/>
  <c r="AB21" i="69"/>
  <c r="AF21" i="69" s="1"/>
  <c r="Y21" i="69"/>
  <c r="G21" i="69"/>
  <c r="E21" i="69"/>
  <c r="E30" i="69" s="1"/>
  <c r="D21" i="69"/>
  <c r="AE20" i="69"/>
  <c r="Y20" i="69"/>
  <c r="AB20" i="69" s="1"/>
  <c r="H20" i="69"/>
  <c r="I20" i="69" s="1"/>
  <c r="D20" i="69"/>
  <c r="AG19" i="69"/>
  <c r="AC19" i="69"/>
  <c r="AE19" i="69" s="1"/>
  <c r="Y19" i="69"/>
  <c r="T19" i="69"/>
  <c r="T24" i="69" s="1"/>
  <c r="T27" i="69" s="1"/>
  <c r="H19" i="69"/>
  <c r="I19" i="69" s="1"/>
  <c r="D19" i="69"/>
  <c r="AD18" i="69"/>
  <c r="AC18" i="69"/>
  <c r="G18" i="69"/>
  <c r="D18" i="69"/>
  <c r="AE17" i="69"/>
  <c r="AB17" i="69"/>
  <c r="AF17" i="69" s="1"/>
  <c r="AA17" i="69"/>
  <c r="AA18" i="69" s="1"/>
  <c r="H17" i="69"/>
  <c r="D17" i="69"/>
  <c r="I17" i="69" s="1"/>
  <c r="AE16" i="69"/>
  <c r="AF16" i="69" s="1"/>
  <c r="H16" i="69"/>
  <c r="I16" i="69" s="1"/>
  <c r="D16" i="69"/>
  <c r="AE15" i="69"/>
  <c r="AB15" i="69"/>
  <c r="AF15" i="69" s="1"/>
  <c r="S15" i="69"/>
  <c r="H15" i="69"/>
  <c r="D15" i="69"/>
  <c r="I15" i="69" s="1"/>
  <c r="AE14" i="69"/>
  <c r="AB14" i="69"/>
  <c r="S14" i="69"/>
  <c r="H14" i="69"/>
  <c r="D14" i="69"/>
  <c r="I14" i="69" s="1"/>
  <c r="AE13" i="69"/>
  <c r="AF13" i="69" s="1"/>
  <c r="S13" i="69"/>
  <c r="AB13" i="69" s="1"/>
  <c r="H13" i="69"/>
  <c r="I13" i="69" s="1"/>
  <c r="D13" i="69"/>
  <c r="AE12" i="69"/>
  <c r="AB12" i="69"/>
  <c r="AF12" i="69" s="1"/>
  <c r="S12" i="69"/>
  <c r="H12" i="69"/>
  <c r="D12" i="69"/>
  <c r="I12" i="69" s="1"/>
  <c r="AE11" i="69"/>
  <c r="S11" i="69"/>
  <c r="AB11" i="69" s="1"/>
  <c r="H11" i="69"/>
  <c r="I11" i="69" s="1"/>
  <c r="D11" i="69"/>
  <c r="AE10" i="69"/>
  <c r="AB10" i="69"/>
  <c r="AF10" i="69" s="1"/>
  <c r="S10" i="69"/>
  <c r="H10" i="69"/>
  <c r="D10" i="69"/>
  <c r="I10" i="69" s="1"/>
  <c r="AE9" i="69"/>
  <c r="AF9" i="69" s="1"/>
  <c r="AB9" i="69"/>
  <c r="AE8" i="69"/>
  <c r="Y8" i="69"/>
  <c r="S8" i="69"/>
  <c r="S18" i="69" s="1"/>
  <c r="H8" i="69"/>
  <c r="I8" i="69" s="1"/>
  <c r="D8" i="69"/>
  <c r="AG7" i="69"/>
  <c r="AG27" i="69" s="1"/>
  <c r="AE7" i="69"/>
  <c r="AE18" i="69" s="1"/>
  <c r="H7" i="69"/>
  <c r="D7" i="69"/>
  <c r="I7" i="69" s="1"/>
  <c r="AG6" i="69"/>
  <c r="AD6" i="69"/>
  <c r="AC6" i="69"/>
  <c r="AE6" i="69" s="1"/>
  <c r="AA6" i="69"/>
  <c r="Z6" i="69"/>
  <c r="Y6" i="69"/>
  <c r="X6" i="69"/>
  <c r="W6" i="69"/>
  <c r="V6" i="69"/>
  <c r="AB6" i="69" s="1"/>
  <c r="U6" i="69"/>
  <c r="U27" i="69" s="1"/>
  <c r="P6" i="69"/>
  <c r="H6" i="69"/>
  <c r="F6" i="69"/>
  <c r="F30" i="69" s="1"/>
  <c r="D6" i="69"/>
  <c r="D30" i="69" s="1"/>
  <c r="AG5" i="69"/>
  <c r="AD5" i="69"/>
  <c r="AC5" i="69"/>
  <c r="AE5" i="69" s="1"/>
  <c r="AA5" i="69"/>
  <c r="Y5" i="69"/>
  <c r="AB5" i="69" s="1"/>
  <c r="S5" i="69"/>
  <c r="P5" i="69"/>
  <c r="C71" i="69" l="1"/>
  <c r="C83" i="69" s="1"/>
  <c r="E83" i="69" s="1"/>
  <c r="H83" i="69" s="1"/>
  <c r="D62" i="69"/>
  <c r="I62" i="69" s="1"/>
  <c r="I64" i="69"/>
  <c r="I67" i="69"/>
  <c r="I69" i="69"/>
  <c r="Y7" i="69"/>
  <c r="Y18" i="69" s="1"/>
  <c r="B71" i="69"/>
  <c r="F71" i="69"/>
  <c r="B96" i="69"/>
  <c r="I65" i="69"/>
  <c r="M94" i="69"/>
  <c r="I63" i="69"/>
  <c r="I66" i="69"/>
  <c r="I68" i="69"/>
  <c r="I70" i="69"/>
  <c r="D23" i="71"/>
  <c r="D22" i="71"/>
  <c r="D24" i="71"/>
  <c r="L46" i="71"/>
  <c r="P75" i="71"/>
  <c r="P62" i="71"/>
  <c r="AF6" i="69"/>
  <c r="AF25" i="69"/>
  <c r="AF11" i="69"/>
  <c r="AE24" i="69"/>
  <c r="AE27" i="69" s="1"/>
  <c r="AF5" i="69"/>
  <c r="AB8" i="69"/>
  <c r="AF8" i="69" s="1"/>
  <c r="S32" i="69"/>
  <c r="I6" i="69"/>
  <c r="I30" i="69" s="1"/>
  <c r="AB7" i="69"/>
  <c r="AF7" i="69" s="1"/>
  <c r="AF14" i="69"/>
  <c r="AF20" i="69"/>
  <c r="Z27" i="69"/>
  <c r="AC24" i="69"/>
  <c r="AC27" i="69" s="1"/>
  <c r="I36" i="69"/>
  <c r="M52" i="69"/>
  <c r="P53" i="69" s="1"/>
  <c r="C140" i="69"/>
  <c r="M92" i="69"/>
  <c r="M104" i="69"/>
  <c r="K120" i="69"/>
  <c r="G30" i="69"/>
  <c r="H18" i="69"/>
  <c r="I18" i="69" s="1"/>
  <c r="X24" i="69"/>
  <c r="X27" i="69" s="1"/>
  <c r="AB22" i="69"/>
  <c r="AF22" i="69" s="1"/>
  <c r="AD24" i="69"/>
  <c r="AD27" i="69" s="1"/>
  <c r="AE23" i="69"/>
  <c r="AF23" i="69" s="1"/>
  <c r="V27" i="69"/>
  <c r="Y24" i="69"/>
  <c r="C84" i="69"/>
  <c r="D61" i="69"/>
  <c r="D71" i="69" s="1"/>
  <c r="H61" i="69"/>
  <c r="B110" i="69"/>
  <c r="G110" i="69"/>
  <c r="I110" i="69" s="1"/>
  <c r="AB19" i="69"/>
  <c r="AB24" i="69" s="1"/>
  <c r="H21" i="69"/>
  <c r="I21" i="69" s="1"/>
  <c r="H91" i="69"/>
  <c r="M91" i="69" s="1"/>
  <c r="Q91" i="69"/>
  <c r="M96" i="69" l="1"/>
  <c r="P110" i="69" s="1"/>
  <c r="AF18" i="69"/>
  <c r="Y27" i="69"/>
  <c r="E84" i="69"/>
  <c r="H84" i="69" s="1"/>
  <c r="P111" i="69"/>
  <c r="F110" i="69"/>
  <c r="J110" i="69" s="1"/>
  <c r="R92" i="69"/>
  <c r="AI19" i="69" s="1"/>
  <c r="I61" i="69"/>
  <c r="I71" i="69" s="1"/>
  <c r="M83" i="69" s="1"/>
  <c r="M84" i="69" s="1"/>
  <c r="P7" i="69" s="1"/>
  <c r="H71" i="69"/>
  <c r="AB18" i="69"/>
  <c r="AB27" i="69" s="1"/>
  <c r="H30" i="69"/>
  <c r="AF19" i="69"/>
  <c r="AF24" i="69" s="1"/>
  <c r="AF27" i="69" s="1"/>
  <c r="AI28" i="69" l="1"/>
  <c r="AM296" i="69" s="1"/>
  <c r="M110" i="69"/>
  <c r="F128" i="69"/>
  <c r="T32" i="69"/>
  <c r="Y32" i="69"/>
  <c r="F127" i="69"/>
  <c r="P19" i="69"/>
  <c r="P27" i="69" s="1"/>
  <c r="D3" i="4" l="1"/>
  <c r="G14" i="65" l="1"/>
  <c r="F14" i="65"/>
  <c r="E14"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c r="A14" i="55"/>
  <c r="A11" i="55"/>
  <c r="A10" i="55"/>
  <c r="B61" i="63"/>
  <c r="A9" i="55"/>
  <c r="B60" i="63"/>
  <c r="A8" i="55"/>
  <c r="A6" i="54"/>
  <c r="A8" i="54"/>
  <c r="A7" i="54"/>
  <c r="A28" i="5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1"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s="1"/>
  <c r="L19" i="6" s="1"/>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c r="F32" i="21"/>
  <c r="S32" i="21" s="1"/>
  <c r="F38" i="21"/>
  <c r="S38" i="21" s="1"/>
  <c r="F36" i="21"/>
  <c r="S36" i="21" s="1"/>
  <c r="F39" i="21"/>
  <c r="AA39" i="21" s="1"/>
  <c r="J40" i="21"/>
  <c r="W40" i="21" s="1"/>
  <c r="H35" i="21"/>
  <c r="AB35" i="21" s="1"/>
  <c r="J8" i="21"/>
  <c r="AC8" i="21" s="1"/>
  <c r="J9" i="21"/>
  <c r="AC9" i="21" s="1"/>
  <c r="H8" i="21"/>
  <c r="AB8" i="21" s="1"/>
  <c r="H9" i="21"/>
  <c r="AB9" i="2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W10" i="40"/>
  <c r="U11" i="40"/>
  <c r="U36" i="40"/>
  <c r="AC35" i="21"/>
  <c r="C29" i="39"/>
  <c r="C23" i="39"/>
  <c r="U36" i="39"/>
  <c r="H32" i="33"/>
  <c r="AB32" i="33"/>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s="1"/>
  <c r="BL572" i="3"/>
  <c r="AZ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10"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AA33" i="39"/>
  <c r="S33"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s="1"/>
  <c r="J11" i="33"/>
  <c r="W11" i="33"/>
  <c r="H33" i="37"/>
  <c r="AB33" i="37"/>
  <c r="W15" i="34"/>
  <c r="AC15" i="34"/>
  <c r="U20" i="35"/>
  <c r="AB20" i="35"/>
  <c r="W23" i="40"/>
  <c r="AP11" i="1"/>
  <c r="B11" i="1"/>
  <c r="E11" i="1" s="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W28" i="21"/>
  <c r="AC46" i="21"/>
  <c r="AC26" i="21"/>
  <c r="J23" i="21"/>
  <c r="W23" i="21" s="1"/>
  <c r="F23" i="21"/>
  <c r="S23" i="21" s="1"/>
  <c r="H23" i="21"/>
  <c r="U23" i="21" s="1"/>
  <c r="F15" i="21"/>
  <c r="S15" i="21" s="1"/>
  <c r="J15" i="21"/>
  <c r="W15" i="21" s="1"/>
  <c r="H15" i="21"/>
  <c r="U15" i="21" s="1"/>
  <c r="W13" i="21"/>
  <c r="AC21" i="21"/>
  <c r="W21" i="21"/>
  <c r="W10"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38" i="39"/>
  <c r="S22" i="31"/>
  <c r="D18" i="9"/>
  <c r="M44" i="9" s="1"/>
  <c r="M43" i="9"/>
  <c r="M20" i="15"/>
  <c r="D96" i="9"/>
  <c r="M18" i="15"/>
  <c r="A18" i="64"/>
  <c r="B74" i="63"/>
  <c r="C53" i="10"/>
  <c r="A25" i="64" s="1"/>
  <c r="A18" i="51"/>
  <c r="B14" i="63"/>
  <c r="BA16" i="3"/>
  <c r="BA17" i="3"/>
  <c r="AZ17" i="3"/>
  <c r="F3" i="35"/>
  <c r="K1" i="43"/>
  <c r="K1" i="12"/>
  <c r="G1" i="44"/>
  <c r="I4" i="6"/>
  <c r="G3" i="46"/>
  <c r="H22" i="46" s="1"/>
  <c r="AZ15" i="3"/>
  <c r="BK5" i="3"/>
  <c r="BO5" i="3"/>
  <c r="BP5" i="3"/>
  <c r="BN5" i="3"/>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A29" i="21"/>
  <c r="U27" i="21"/>
  <c r="W31" i="21"/>
  <c r="S27" i="21"/>
  <c r="AC27" i="21"/>
  <c r="W29" i="21"/>
  <c r="G95" i="40"/>
  <c r="J27" i="40"/>
  <c r="W37" i="40"/>
  <c r="W30" i="40"/>
  <c r="S34" i="40"/>
  <c r="U38" i="40"/>
  <c r="S40" i="40"/>
  <c r="S42" i="40"/>
  <c r="J31" i="39"/>
  <c r="W31" i="39" s="1"/>
  <c r="S45" i="39"/>
  <c r="AB43" i="39"/>
  <c r="AB33" i="39"/>
  <c r="AC46" i="39"/>
  <c r="W36" i="39"/>
  <c r="AC37"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E29" i="6" s="1"/>
  <c r="AZ16" i="3"/>
  <c r="A9" i="64"/>
  <c r="A9" i="51"/>
  <c r="B9" i="63" s="1"/>
  <c r="A3" i="55"/>
  <c r="B56" i="63"/>
  <c r="G66" i="36"/>
  <c r="J18" i="36"/>
  <c r="AE6" i="1"/>
  <c r="W18" i="36"/>
  <c r="AC18" i="36"/>
  <c r="AG6" i="1"/>
  <c r="L20" i="6"/>
  <c r="S9" i="1"/>
  <c r="R9" i="1"/>
  <c r="C45" i="9"/>
  <c r="H14" i="66" s="1"/>
  <c r="B7" i="66" s="1"/>
  <c r="O40" i="9"/>
  <c r="K31" i="9"/>
  <c r="K32" i="9" s="1"/>
  <c r="R7" i="54"/>
  <c r="B52" i="63" s="1"/>
  <c r="N76" i="9"/>
  <c r="C46" i="9"/>
  <c r="K33" i="9" s="1"/>
  <c r="K34" i="9" s="1"/>
  <c r="O41" i="9"/>
  <c r="R8" i="54" s="1"/>
  <c r="B54" i="63" s="1"/>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Y11" i="46"/>
  <c r="Y13" i="46" s="1"/>
  <c r="G22" i="46"/>
  <c r="F101" i="46"/>
  <c r="F106" i="46" s="1"/>
  <c r="AP7" i="1"/>
  <c r="H70" i="46"/>
  <c r="H73" i="46"/>
  <c r="H50" i="46"/>
  <c r="H48" i="46"/>
  <c r="F35" i="46"/>
  <c r="I17" i="46"/>
  <c r="H63" i="46"/>
  <c r="M101" i="46"/>
  <c r="AC11" i="46"/>
  <c r="AC13" i="46" s="1"/>
  <c r="AJ11" i="46"/>
  <c r="AJ13" i="46" s="1"/>
  <c r="H64" i="46"/>
  <c r="H66" i="46"/>
  <c r="D100" i="46"/>
  <c r="H62" i="46"/>
  <c r="AF12" i="46"/>
  <c r="K100" i="46"/>
  <c r="AB12" i="46"/>
  <c r="AJ12" i="46"/>
  <c r="G101" i="46"/>
  <c r="G103" i="46" s="1"/>
  <c r="B113" i="46"/>
  <c r="I115" i="46" s="1"/>
  <c r="J115" i="46" s="1"/>
  <c r="K115" i="46" s="1"/>
  <c r="L115" i="46" s="1"/>
  <c r="M115" i="46" s="1"/>
  <c r="L101" i="46"/>
  <c r="L105" i="46" s="1"/>
  <c r="E101" i="46"/>
  <c r="E106" i="46" s="1"/>
  <c r="K101" i="46"/>
  <c r="K103" i="46" s="1"/>
  <c r="AG11" i="46"/>
  <c r="AG13" i="46" s="1"/>
  <c r="AH11" i="46"/>
  <c r="AH13" i="46" s="1"/>
  <c r="AI11" i="46"/>
  <c r="AI13" i="46" s="1"/>
  <c r="AE11" i="46"/>
  <c r="AE13" i="46" s="1"/>
  <c r="H60" i="46"/>
  <c r="H59" i="46"/>
  <c r="H74" i="46"/>
  <c r="H65" i="46"/>
  <c r="H75" i="46"/>
  <c r="H72" i="46"/>
  <c r="H69" i="46"/>
  <c r="H77" i="46"/>
  <c r="H76" i="46"/>
  <c r="H55" i="46"/>
  <c r="H54" i="46"/>
  <c r="H52" i="46"/>
  <c r="H47" i="46"/>
  <c r="AD12" i="46"/>
  <c r="AH12" i="46"/>
  <c r="C22" i="59"/>
  <c r="C21" i="59"/>
  <c r="T21" i="59"/>
  <c r="B22" i="59"/>
  <c r="B21" i="59"/>
  <c r="S21" i="59"/>
  <c r="D22" i="59"/>
  <c r="V21" i="59"/>
  <c r="D21" i="59"/>
  <c r="E105" i="46"/>
  <c r="L107" i="46"/>
  <c r="I118" i="46"/>
  <c r="J118" i="46" s="1"/>
  <c r="K118" i="46" s="1"/>
  <c r="L118" i="46" s="1"/>
  <c r="M118" i="46" s="1"/>
  <c r="D20" i="59"/>
  <c r="D19" i="59"/>
  <c r="G20" i="46"/>
  <c r="E41" i="46" s="1"/>
  <c r="C41" i="46" s="1"/>
  <c r="M26" i="44"/>
  <c r="M28" i="71"/>
  <c r="F46" i="44"/>
  <c r="M9" i="71"/>
  <c r="J5" i="65"/>
  <c r="F26" i="15"/>
  <c r="L48" i="44"/>
  <c r="M8" i="15"/>
  <c r="E8" i="67"/>
  <c r="F11" i="44"/>
  <c r="M26" i="71"/>
  <c r="F43" i="44"/>
  <c r="N4" i="65"/>
  <c r="N5" i="65"/>
  <c r="J4" i="65"/>
  <c r="J15" i="15"/>
  <c r="F12" i="67"/>
  <c r="F42" i="15"/>
  <c r="J6" i="65"/>
  <c r="F36" i="71"/>
  <c r="F37" i="15"/>
  <c r="F9" i="67"/>
  <c r="M29" i="44"/>
  <c r="F10" i="67"/>
  <c r="B13" i="67"/>
  <c r="L48" i="15"/>
  <c r="F40" i="71"/>
  <c r="F38" i="15"/>
  <c r="B10" i="67"/>
  <c r="F8" i="67"/>
  <c r="F13" i="15"/>
  <c r="B11" i="67"/>
  <c r="F9" i="71"/>
  <c r="I4" i="65"/>
  <c r="F8" i="71"/>
  <c r="L47" i="15"/>
  <c r="F36" i="15"/>
  <c r="F38" i="44"/>
  <c r="L49" i="44"/>
  <c r="M27" i="71"/>
  <c r="J36" i="15"/>
  <c r="F7" i="71"/>
  <c r="J3" i="65"/>
  <c r="F13" i="71"/>
  <c r="M24" i="15"/>
  <c r="B14" i="67"/>
  <c r="J7" i="65"/>
  <c r="F10" i="44"/>
  <c r="M6" i="15"/>
  <c r="F16" i="15"/>
  <c r="F38" i="71"/>
  <c r="F40" i="15"/>
  <c r="L48" i="71"/>
  <c r="F8" i="44"/>
  <c r="M27" i="15"/>
  <c r="M9" i="15"/>
  <c r="F6" i="15"/>
  <c r="J17" i="44"/>
  <c r="E14" i="67"/>
  <c r="M8" i="71"/>
  <c r="I6" i="65"/>
  <c r="M24" i="44"/>
  <c r="E13" i="67"/>
  <c r="M8" i="44"/>
  <c r="J15" i="71"/>
  <c r="M10" i="44"/>
  <c r="F26" i="71"/>
  <c r="F7" i="15"/>
  <c r="F9" i="44"/>
  <c r="F39" i="44"/>
  <c r="M29" i="71"/>
  <c r="I3" i="65"/>
  <c r="F40" i="44"/>
  <c r="F43" i="15"/>
  <c r="F11" i="67"/>
  <c r="M6" i="71"/>
  <c r="M23" i="15"/>
  <c r="F43" i="71"/>
  <c r="F8" i="15"/>
  <c r="N6" i="65"/>
  <c r="E11" i="67"/>
  <c r="M25" i="44"/>
  <c r="L47" i="71"/>
  <c r="I7" i="65"/>
  <c r="M31" i="44"/>
  <c r="M29" i="15"/>
  <c r="F18" i="44"/>
  <c r="M28" i="15"/>
  <c r="M24" i="71"/>
  <c r="B8" i="67"/>
  <c r="F37" i="71"/>
  <c r="N7" i="65"/>
  <c r="E12" i="67"/>
  <c r="M26" i="15"/>
  <c r="M11" i="44"/>
  <c r="F42" i="71"/>
  <c r="F14" i="67"/>
  <c r="M23" i="71"/>
  <c r="F15" i="44"/>
  <c r="F9" i="15"/>
  <c r="F45" i="44"/>
  <c r="F28" i="44"/>
  <c r="N3" i="65"/>
  <c r="E10" i="67"/>
  <c r="B12" i="67"/>
  <c r="M30" i="44"/>
  <c r="F16" i="71"/>
  <c r="E9" i="67"/>
  <c r="M22" i="71"/>
  <c r="B9" i="67"/>
  <c r="M28" i="44"/>
  <c r="M22" i="15"/>
  <c r="I5" i="65"/>
  <c r="J36" i="71"/>
  <c r="F13" i="67"/>
  <c r="F6" i="71"/>
  <c r="P27" i="6" l="1"/>
  <c r="L57" i="71"/>
  <c r="L60" i="71"/>
  <c r="J53" i="71"/>
  <c r="I54" i="71"/>
  <c r="L56" i="71"/>
  <c r="J60" i="71"/>
  <c r="Q49" i="71" s="1"/>
  <c r="J57" i="71"/>
  <c r="J55" i="71" s="1"/>
  <c r="J58" i="71" s="1"/>
  <c r="Q51" i="71" s="1"/>
  <c r="J59" i="71"/>
  <c r="C6" i="71"/>
  <c r="C27" i="71"/>
  <c r="F64" i="71"/>
  <c r="F50" i="71"/>
  <c r="M7" i="71"/>
  <c r="J6" i="71" s="1"/>
  <c r="J18" i="71" s="1"/>
  <c r="F49" i="71"/>
  <c r="F65" i="71"/>
  <c r="Q72" i="71"/>
  <c r="F63" i="71"/>
  <c r="L58" i="71"/>
  <c r="L59" i="71"/>
  <c r="F67" i="71"/>
  <c r="H43" i="71"/>
  <c r="G118" i="46"/>
  <c r="H118" i="46" s="1"/>
  <c r="AC23" i="21"/>
  <c r="AB23" i="21"/>
  <c r="AA23" i="21"/>
  <c r="S21" i="21"/>
  <c r="U39" i="21"/>
  <c r="AC40" i="21"/>
  <c r="S35" i="21"/>
  <c r="U42" i="21"/>
  <c r="W42" i="21"/>
  <c r="AC38" i="21"/>
  <c r="U38" i="21"/>
  <c r="H113" i="21"/>
  <c r="J37" i="21"/>
  <c r="H37" i="21"/>
  <c r="U37" i="21" s="1"/>
  <c r="F37" i="21"/>
  <c r="AB36" i="21"/>
  <c r="W32" i="21"/>
  <c r="AA32" i="21"/>
  <c r="AB32" i="21"/>
  <c r="U40" i="21"/>
  <c r="AB45" i="21"/>
  <c r="W44" i="21"/>
  <c r="S45" i="21"/>
  <c r="U46" i="21"/>
  <c r="S34" i="21"/>
  <c r="U35" i="21"/>
  <c r="AA36" i="21"/>
  <c r="AA38" i="21"/>
  <c r="S42" i="21"/>
  <c r="AB29" i="39"/>
  <c r="S29" i="39"/>
  <c r="U27" i="39"/>
  <c r="S27" i="39"/>
  <c r="U23" i="39"/>
  <c r="S34" i="39"/>
  <c r="U34" i="39"/>
  <c r="W29" i="39"/>
  <c r="W27" i="39"/>
  <c r="W25" i="39"/>
  <c r="S25" i="39"/>
  <c r="AB25" i="39"/>
  <c r="W23" i="39"/>
  <c r="S23" i="39"/>
  <c r="AC21" i="39"/>
  <c r="AA21" i="39"/>
  <c r="AC19" i="39"/>
  <c r="AB19" i="39"/>
  <c r="AB17" i="39"/>
  <c r="AC17" i="39"/>
  <c r="S17" i="39"/>
  <c r="U14" i="39"/>
  <c r="S14" i="39"/>
  <c r="AA44" i="39"/>
  <c r="AB44" i="39"/>
  <c r="F121" i="39"/>
  <c r="G121" i="39" s="1"/>
  <c r="H121" i="39" s="1"/>
  <c r="I121" i="39" s="1"/>
  <c r="J121" i="39" s="1"/>
  <c r="K121" i="39" s="1"/>
  <c r="L121" i="39" s="1"/>
  <c r="M121" i="39" s="1"/>
  <c r="H41" i="39"/>
  <c r="AB41" i="39" s="1"/>
  <c r="F41" i="39"/>
  <c r="AA41" i="39" s="1"/>
  <c r="J41" i="39"/>
  <c r="AC41" i="39" s="1"/>
  <c r="U41" i="39"/>
  <c r="S41" i="39"/>
  <c r="AC44" i="39"/>
  <c r="AC43" i="39"/>
  <c r="W42" i="39"/>
  <c r="G106" i="46"/>
  <c r="F105" i="46"/>
  <c r="F104" i="46"/>
  <c r="D117" i="46"/>
  <c r="E117" i="46" s="1"/>
  <c r="F117" i="46" s="1"/>
  <c r="G117" i="46" s="1"/>
  <c r="H117" i="46" s="1"/>
  <c r="F107" i="46"/>
  <c r="G107" i="46"/>
  <c r="L109" i="46"/>
  <c r="K107" i="46"/>
  <c r="K109" i="46"/>
  <c r="G104" i="46"/>
  <c r="B118" i="46"/>
  <c r="C118" i="46" s="1"/>
  <c r="D115" i="46"/>
  <c r="E115" i="46" s="1"/>
  <c r="F115" i="46" s="1"/>
  <c r="G115" i="46" s="1"/>
  <c r="H115" i="46" s="1"/>
  <c r="D116" i="46"/>
  <c r="E116" i="46" s="1"/>
  <c r="F116" i="46" s="1"/>
  <c r="G116" i="46" s="1"/>
  <c r="H116" i="46" s="1"/>
  <c r="I116" i="46"/>
  <c r="J116" i="46" s="1"/>
  <c r="K116" i="46" s="1"/>
  <c r="L116" i="46" s="1"/>
  <c r="M116" i="46" s="1"/>
  <c r="C23" i="46"/>
  <c r="L102" i="46"/>
  <c r="K104" i="46"/>
  <c r="AB11" i="46"/>
  <c r="AB13" i="46" s="1"/>
  <c r="AF11" i="46"/>
  <c r="AF13" i="46" s="1"/>
  <c r="AA11" i="46"/>
  <c r="AA13" i="46" s="1"/>
  <c r="Z11" i="46"/>
  <c r="Z13" i="46" s="1"/>
  <c r="E22" i="46"/>
  <c r="Z7" i="46"/>
  <c r="F22" i="46"/>
  <c r="N104" i="45"/>
  <c r="J101" i="46"/>
  <c r="J106" i="46" s="1"/>
  <c r="C101" i="46"/>
  <c r="C109" i="46" s="1"/>
  <c r="AD11" i="46"/>
  <c r="AD13" i="46" s="1"/>
  <c r="N101" i="46"/>
  <c r="N105" i="46" s="1"/>
  <c r="I101" i="46"/>
  <c r="I105" i="46" s="1"/>
  <c r="D101" i="46"/>
  <c r="D105" i="46" s="1"/>
  <c r="J22" i="46"/>
  <c r="H101" i="46"/>
  <c r="H102" i="46" s="1"/>
  <c r="A30" i="51"/>
  <c r="B22" i="63" s="1"/>
  <c r="A30" i="64"/>
  <c r="W41" i="39"/>
  <c r="F70" i="71"/>
  <c r="M8" i="1"/>
  <c r="P75" i="15"/>
  <c r="U19" i="21"/>
  <c r="AC19" i="21"/>
  <c r="S19" i="21"/>
  <c r="AA17" i="21"/>
  <c r="W17" i="21"/>
  <c r="AB15" i="21"/>
  <c r="AA15" i="21"/>
  <c r="AC15" i="21"/>
  <c r="W8" i="21"/>
  <c r="S10" i="21"/>
  <c r="W9" i="21"/>
  <c r="BL5" i="3"/>
  <c r="AZ13" i="3"/>
  <c r="AZ5" i="3" s="1"/>
  <c r="E3" i="6" s="1"/>
  <c r="E8" i="6"/>
  <c r="E53" i="40" s="1"/>
  <c r="C21" i="4"/>
  <c r="O5" i="54" s="1"/>
  <c r="B45" i="63" s="1"/>
  <c r="G7" i="1"/>
  <c r="N16" i="4"/>
  <c r="D46" i="9"/>
  <c r="I14" i="66"/>
  <c r="B8" i="66" s="1"/>
  <c r="B37" i="50"/>
  <c r="B2" i="63" s="1"/>
  <c r="X9" i="59"/>
  <c r="Y9" i="59"/>
  <c r="Z9" i="59" s="1"/>
  <c r="AA9" i="59"/>
  <c r="AB9" i="59"/>
  <c r="S17" i="40"/>
  <c r="AB17" i="40"/>
  <c r="AB32" i="40"/>
  <c r="W35" i="40"/>
  <c r="W36" i="40"/>
  <c r="S36" i="40"/>
  <c r="S11" i="40"/>
  <c r="S10" i="40"/>
  <c r="S27" i="40"/>
  <c r="AC31" i="39"/>
  <c r="AC47"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D16" i="12"/>
  <c r="D19" i="12" s="1"/>
  <c r="C19" i="12" s="1"/>
  <c r="G28" i="6"/>
  <c r="E28" i="6" s="1"/>
  <c r="G27" i="12"/>
  <c r="M107" i="46"/>
  <c r="M106" i="46"/>
  <c r="G13" i="3"/>
  <c r="J103" i="46"/>
  <c r="Q16" i="1"/>
  <c r="J107" i="46"/>
  <c r="F34" i="44"/>
  <c r="F24" i="43"/>
  <c r="I102" i="46"/>
  <c r="I109" i="46"/>
  <c r="M105" i="46"/>
  <c r="M102"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I104" i="46"/>
  <c r="M104" i="46"/>
  <c r="M109" i="46"/>
  <c r="M103" i="46"/>
  <c r="L27" i="6"/>
  <c r="G30" i="6"/>
  <c r="G31" i="6" s="1"/>
  <c r="K15" i="1"/>
  <c r="E15" i="6"/>
  <c r="E12" i="6"/>
  <c r="E11" i="6"/>
  <c r="E14" i="6"/>
  <c r="E13" i="6"/>
  <c r="E10" i="6"/>
  <c r="O11" i="1"/>
  <c r="P11" i="1" s="1"/>
  <c r="E6" i="6"/>
  <c r="D21" i="12"/>
  <c r="C21" i="12" s="1"/>
  <c r="O6" i="1"/>
  <c r="P6" i="1" s="1"/>
  <c r="O7" i="1"/>
  <c r="P7" i="1" s="1"/>
  <c r="O12" i="1"/>
  <c r="P12" i="1" s="1"/>
  <c r="O10" i="1"/>
  <c r="P10" i="1" s="1"/>
  <c r="O9" i="1"/>
  <c r="P9" i="1" s="1"/>
  <c r="O13" i="1"/>
  <c r="P13" i="1" s="1"/>
  <c r="J109" i="46"/>
  <c r="J104"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E3" i="65"/>
  <c r="C18" i="44"/>
  <c r="C16" i="15"/>
  <c r="C16" i="71"/>
  <c r="J105" i="46" l="1"/>
  <c r="I103" i="46"/>
  <c r="I106" i="46"/>
  <c r="J102" i="46"/>
  <c r="Q61" i="71"/>
  <c r="Q74" i="71"/>
  <c r="C48" i="71"/>
  <c r="C60" i="71" s="1"/>
  <c r="Q67" i="71"/>
  <c r="Q58" i="71"/>
  <c r="Q75" i="71"/>
  <c r="Q62" i="71"/>
  <c r="C32" i="71"/>
  <c r="C33" i="71"/>
  <c r="Q53" i="71"/>
  <c r="F1" i="71"/>
  <c r="D109" i="46"/>
  <c r="D104" i="46"/>
  <c r="AB37" i="21"/>
  <c r="S37" i="21"/>
  <c r="AA37" i="21"/>
  <c r="W37" i="21"/>
  <c r="AC37" i="21"/>
  <c r="C107" i="46"/>
  <c r="D107" i="46"/>
  <c r="H109" i="46"/>
  <c r="C106" i="46"/>
  <c r="C105" i="46"/>
  <c r="N107" i="46"/>
  <c r="N106" i="46"/>
  <c r="D103" i="46"/>
  <c r="D106" i="46"/>
  <c r="H103" i="46"/>
  <c r="C102" i="46"/>
  <c r="S2" i="46" s="1"/>
  <c r="N102" i="46"/>
  <c r="H105" i="46"/>
  <c r="H104" i="46"/>
  <c r="D102" i="46"/>
  <c r="H107" i="46"/>
  <c r="N103" i="46"/>
  <c r="C104" i="46"/>
  <c r="N104" i="46"/>
  <c r="C103" i="46"/>
  <c r="N109" i="46"/>
  <c r="H106" i="46"/>
  <c r="L38" i="9"/>
  <c r="B1" i="66" s="1"/>
  <c r="J33" i="21"/>
  <c r="F33" i="21"/>
  <c r="H33" i="21"/>
  <c r="O8" i="1"/>
  <c r="P8" i="1" s="1"/>
  <c r="F11" i="71"/>
  <c r="M11" i="71"/>
  <c r="J10" i="71" s="1"/>
  <c r="J5" i="71" s="1"/>
  <c r="D16" i="43"/>
  <c r="C16" i="43" s="1"/>
  <c r="D45" i="9"/>
  <c r="F27" i="6"/>
  <c r="D113" i="46"/>
  <c r="E58" i="39"/>
  <c r="E16" i="6"/>
  <c r="C7" i="46"/>
  <c r="C16" i="12"/>
  <c r="G5" i="3"/>
  <c r="B3" i="3" s="1"/>
  <c r="F21" i="43"/>
  <c r="F33" i="12"/>
  <c r="C34" i="12" s="1"/>
  <c r="D33" i="12" s="1"/>
  <c r="E65" i="39"/>
  <c r="E60" i="40"/>
  <c r="E63" i="39"/>
  <c r="E58" i="40"/>
  <c r="E64" i="39"/>
  <c r="E59" i="40"/>
  <c r="E62" i="39"/>
  <c r="E57" i="40"/>
  <c r="E66" i="39"/>
  <c r="E61" i="40"/>
  <c r="E30" i="6"/>
  <c r="K14" i="1"/>
  <c r="D13" i="11"/>
  <c r="C13" i="11" s="1"/>
  <c r="D22" i="12"/>
  <c r="C22" i="12" s="1"/>
  <c r="C20" i="12" s="1"/>
  <c r="H7" i="34"/>
  <c r="F7" i="34"/>
  <c r="AA7" i="34" s="1"/>
  <c r="R49" i="34" s="1"/>
  <c r="J7" i="34"/>
  <c r="W7" i="34" s="1"/>
  <c r="G16" i="1"/>
  <c r="J12" i="40" s="1"/>
  <c r="F11" i="59"/>
  <c r="F7" i="21"/>
  <c r="AA7" i="21" s="1"/>
  <c r="H7" i="21"/>
  <c r="AB7" i="21" s="1"/>
  <c r="B12" i="59"/>
  <c r="S13" i="59"/>
  <c r="E12" i="59"/>
  <c r="U13" i="59"/>
  <c r="F58" i="15"/>
  <c r="H7" i="35"/>
  <c r="U7" i="35" s="1"/>
  <c r="B40" i="1"/>
  <c r="F24" i="71" s="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8" i="1"/>
  <c r="AE7" i="1"/>
  <c r="S3" i="46" l="1"/>
  <c r="S4" i="46"/>
  <c r="S6" i="46"/>
  <c r="S5" i="46"/>
  <c r="S7" i="46"/>
  <c r="T7" i="46" s="1"/>
  <c r="V7" i="46" s="1"/>
  <c r="C8" i="66"/>
  <c r="C7" i="66"/>
  <c r="S33" i="21"/>
  <c r="AA33" i="21"/>
  <c r="U33" i="21"/>
  <c r="AB33" i="21"/>
  <c r="W33" i="21"/>
  <c r="AC33" i="21"/>
  <c r="J26" i="71"/>
  <c r="J24" i="71"/>
  <c r="C24" i="71"/>
  <c r="C52" i="71"/>
  <c r="C47" i="71" s="1"/>
  <c r="C10" i="71"/>
  <c r="C5" i="71" s="1"/>
  <c r="E27" i="6"/>
  <c r="E31" i="6" s="1"/>
  <c r="F31"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69" i="39"/>
  <c r="E71" i="39"/>
  <c r="I53" i="34"/>
  <c r="J53" i="34" s="1"/>
  <c r="R50" i="34"/>
  <c r="E49" i="34"/>
  <c r="I52" i="33"/>
  <c r="J52" i="33" s="1"/>
  <c r="E66" i="40"/>
  <c r="F64" i="40"/>
  <c r="D14" i="59"/>
  <c r="C13" i="59"/>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F41" i="71"/>
  <c r="F68" i="71" l="1"/>
  <c r="J29" i="71"/>
  <c r="F68" i="15"/>
  <c r="C38" i="71"/>
  <c r="C59" i="71"/>
  <c r="C65" i="71"/>
  <c r="K24" i="6"/>
  <c r="M24" i="6" s="1"/>
  <c r="I24" i="6" s="1"/>
  <c r="S24" i="6" s="1"/>
  <c r="K22" i="6"/>
  <c r="M22" i="6" s="1"/>
  <c r="I22" i="6" s="1"/>
  <c r="S22" i="6" s="1"/>
  <c r="K23" i="6"/>
  <c r="M23" i="6" s="1"/>
  <c r="I23" i="6" s="1"/>
  <c r="S23" i="6" s="1"/>
  <c r="K25" i="6"/>
  <c r="M25" i="6" s="1"/>
  <c r="I25" i="6" s="1"/>
  <c r="S25" i="6" s="1"/>
  <c r="K19" i="6"/>
  <c r="K21" i="6"/>
  <c r="K26" i="6"/>
  <c r="M26" i="6" s="1"/>
  <c r="I26" i="6" s="1"/>
  <c r="S26" i="6" s="1"/>
  <c r="K20"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C12" i="59"/>
  <c r="C11" i="59" s="1"/>
  <c r="C10" i="59" s="1"/>
  <c r="C9" i="59" s="1"/>
  <c r="C8" i="59" s="1"/>
  <c r="T13" i="59"/>
  <c r="F66" i="40"/>
  <c r="G64" i="40"/>
  <c r="C50" i="34"/>
  <c r="B3" i="34" s="1"/>
  <c r="B2" i="34" s="1"/>
  <c r="C49" i="34"/>
  <c r="G69" i="39"/>
  <c r="F71" i="39"/>
  <c r="R49" i="33"/>
  <c r="E48" i="33"/>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D13" i="59"/>
  <c r="E29" i="46"/>
  <c r="C65" i="15"/>
  <c r="C59" i="15"/>
  <c r="B5" i="11"/>
  <c r="B3" i="11"/>
  <c r="B4" i="11"/>
  <c r="J26" i="15"/>
  <c r="J29" i="15" s="1"/>
  <c r="J24" i="15"/>
  <c r="C38" i="15"/>
  <c r="Q58" i="44"/>
  <c r="Q67" i="44"/>
  <c r="Q49" i="44"/>
  <c r="Q55" i="44" s="1"/>
  <c r="F7" i="67"/>
  <c r="C40" i="39" l="1"/>
  <c r="F40" i="39" s="1"/>
  <c r="P36" i="6"/>
  <c r="P37" i="6" s="1"/>
  <c r="R20" i="6" s="1"/>
  <c r="J40" i="39"/>
  <c r="M20" i="6"/>
  <c r="I20" i="6" s="1"/>
  <c r="S20" i="6" s="1"/>
  <c r="S7" i="1"/>
  <c r="M21" i="6"/>
  <c r="I21" i="6" s="1"/>
  <c r="S21" i="6" s="1"/>
  <c r="R21" i="6" s="1"/>
  <c r="S8" i="1"/>
  <c r="S6" i="1"/>
  <c r="M19" i="6"/>
  <c r="K27" i="6"/>
  <c r="E6" i="3"/>
  <c r="F8" i="59"/>
  <c r="C7" i="59"/>
  <c r="D8" i="59"/>
  <c r="E9" i="59"/>
  <c r="D9" i="59"/>
  <c r="B9" i="59"/>
  <c r="D22" i="6"/>
  <c r="D8" i="6"/>
  <c r="E62" i="40"/>
  <c r="D15" i="6"/>
  <c r="D11" i="6"/>
  <c r="K38" i="9"/>
  <c r="C14" i="66" s="1"/>
  <c r="B2" i="66" s="1"/>
  <c r="E45" i="9"/>
  <c r="D14" i="6"/>
  <c r="D21" i="6"/>
  <c r="D13" i="6"/>
  <c r="E67" i="39"/>
  <c r="D25" i="6"/>
  <c r="D29" i="6"/>
  <c r="F46" i="9"/>
  <c r="D5" i="6"/>
  <c r="D26" i="6"/>
  <c r="D20" i="6"/>
  <c r="D10" i="6"/>
  <c r="H22" i="6"/>
  <c r="R22" i="6" s="1"/>
  <c r="H24" i="6"/>
  <c r="D12"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C17" i="15"/>
  <c r="C19" i="44"/>
  <c r="B7" i="67"/>
  <c r="E7" i="67"/>
  <c r="C17" i="71"/>
  <c r="H40" i="39" l="1"/>
  <c r="AB40" i="39" s="1"/>
  <c r="R19" i="6"/>
  <c r="P39" i="6"/>
  <c r="H21" i="6"/>
  <c r="R8" i="1" s="1"/>
  <c r="D30" i="6"/>
  <c r="AC40" i="39"/>
  <c r="W40" i="39"/>
  <c r="AA40" i="39"/>
  <c r="S40" i="39"/>
  <c r="I19" i="6"/>
  <c r="S19" i="6" s="1"/>
  <c r="M27" i="6"/>
  <c r="S16" i="1"/>
  <c r="R24" i="6"/>
  <c r="R26" i="6"/>
  <c r="C6" i="59"/>
  <c r="D7" i="59"/>
  <c r="F7" i="59"/>
  <c r="B8" i="59"/>
  <c r="E8" i="59"/>
  <c r="R25" i="6"/>
  <c r="D27" i="6"/>
  <c r="A20" i="64"/>
  <c r="A6" i="64"/>
  <c r="A20" i="51"/>
  <c r="B15" i="63" s="1"/>
  <c r="N5" i="54"/>
  <c r="B43" i="63" s="1"/>
  <c r="A6" i="51"/>
  <c r="B7" i="63" s="1"/>
  <c r="D8" i="66"/>
  <c r="D7" i="66"/>
  <c r="D16" i="6"/>
  <c r="R23" i="6"/>
  <c r="R7" i="1"/>
  <c r="C17" i="43"/>
  <c r="C14" i="43"/>
  <c r="C14" i="12"/>
  <c r="C17" i="12"/>
  <c r="I64" i="40"/>
  <c r="H66" i="40"/>
  <c r="H71" i="39"/>
  <c r="I69" i="39"/>
  <c r="N46" i="36"/>
  <c r="E3" i="67"/>
  <c r="B2" i="67"/>
  <c r="D4" i="46"/>
  <c r="B3" i="46"/>
  <c r="B4" i="46"/>
  <c r="M21" i="15"/>
  <c r="M21" i="71"/>
  <c r="F35" i="71"/>
  <c r="F35" i="15"/>
  <c r="F37" i="44"/>
  <c r="M23" i="44"/>
  <c r="U40" i="39" l="1"/>
  <c r="D31" i="6"/>
  <c r="I6" i="6" s="1"/>
  <c r="J20" i="71"/>
  <c r="F62" i="71"/>
  <c r="C61" i="71" s="1"/>
  <c r="C58" i="71" s="1"/>
  <c r="C34" i="71"/>
  <c r="C31" i="71" s="1"/>
  <c r="S27" i="6"/>
  <c r="I27" i="6"/>
  <c r="H19" i="6"/>
  <c r="E7" i="59"/>
  <c r="B7" i="59"/>
  <c r="F6" i="59"/>
  <c r="D6" i="59"/>
  <c r="C5" i="59"/>
  <c r="J22" i="44"/>
  <c r="J20" i="15"/>
  <c r="F62" i="15"/>
  <c r="C61" i="15" s="1"/>
  <c r="C34" i="15"/>
  <c r="C36" i="44"/>
  <c r="C18" i="43"/>
  <c r="C18" i="12"/>
  <c r="C23" i="12" s="1"/>
  <c r="O46" i="36"/>
  <c r="J7" i="36" s="1"/>
  <c r="F7" i="36"/>
  <c r="H7" i="36"/>
  <c r="J64" i="40"/>
  <c r="I66" i="40"/>
  <c r="J69" i="39"/>
  <c r="I71" i="39"/>
  <c r="B3" i="67"/>
  <c r="B4" i="67"/>
  <c r="C16" i="44"/>
  <c r="C14" i="71"/>
  <c r="C14" i="15"/>
  <c r="I5" i="6" l="1"/>
  <c r="C11" i="21"/>
  <c r="F11" i="21" s="1"/>
  <c r="C13" i="39"/>
  <c r="C18" i="71"/>
  <c r="C15" i="71"/>
  <c r="J11" i="21"/>
  <c r="C17" i="44"/>
  <c r="C20" i="44"/>
  <c r="C15" i="15"/>
  <c r="C18" i="15"/>
  <c r="T16" i="1"/>
  <c r="H27" i="6"/>
  <c r="D5" i="59"/>
  <c r="T5" i="59"/>
  <c r="F5" i="59"/>
  <c r="V5" i="59" s="1"/>
  <c r="B6" i="59"/>
  <c r="E6" i="59"/>
  <c r="C19" i="43"/>
  <c r="K69" i="39"/>
  <c r="J71" i="39"/>
  <c r="U7" i="36"/>
  <c r="AB7" i="36"/>
  <c r="T36" i="36" s="1"/>
  <c r="G36" i="36" s="1"/>
  <c r="AC7" i="36"/>
  <c r="V36" i="36" s="1"/>
  <c r="I36" i="36" s="1"/>
  <c r="W7" i="36"/>
  <c r="J66" i="40"/>
  <c r="K64" i="40"/>
  <c r="S7" i="36"/>
  <c r="AA7" i="36"/>
  <c r="R36" i="36" s="1"/>
  <c r="H11" i="21" l="1"/>
  <c r="U11" i="21" s="1"/>
  <c r="H13" i="39"/>
  <c r="J13" i="39"/>
  <c r="F13" i="39"/>
  <c r="C19" i="71"/>
  <c r="C20" i="71" s="1"/>
  <c r="C26" i="71" s="1"/>
  <c r="S11" i="21"/>
  <c r="AA11" i="21"/>
  <c r="R48" i="21" s="1"/>
  <c r="W11" i="21"/>
  <c r="AC11" i="21"/>
  <c r="V48" i="21" s="1"/>
  <c r="I48" i="21" s="1"/>
  <c r="C19" i="15"/>
  <c r="C20" i="15" s="1"/>
  <c r="C26" i="15" s="1"/>
  <c r="C21" i="44"/>
  <c r="C22" i="44" s="1"/>
  <c r="C28" i="44" s="1"/>
  <c r="R27" i="6"/>
  <c r="R6" i="1"/>
  <c r="R16" i="1" s="1"/>
  <c r="E5" i="59"/>
  <c r="U5" i="59" s="1"/>
  <c r="B5" i="59"/>
  <c r="C21" i="43"/>
  <c r="R37" i="36"/>
  <c r="E36" i="36"/>
  <c r="K66" i="40"/>
  <c r="L64" i="40"/>
  <c r="G41" i="36"/>
  <c r="H41" i="36" s="1"/>
  <c r="G40" i="36"/>
  <c r="H40" i="36" s="1"/>
  <c r="I40" i="36"/>
  <c r="J40" i="36" s="1"/>
  <c r="I41" i="36"/>
  <c r="J41" i="36" s="1"/>
  <c r="L69" i="39"/>
  <c r="K71" i="39"/>
  <c r="AB11" i="21" l="1"/>
  <c r="T48" i="21" s="1"/>
  <c r="G48" i="21" s="1"/>
  <c r="G53" i="21" s="1"/>
  <c r="H53" i="21" s="1"/>
  <c r="AC13" i="39"/>
  <c r="W13" i="39"/>
  <c r="AA13" i="39"/>
  <c r="S13" i="39"/>
  <c r="AB13" i="39"/>
  <c r="U13" i="39"/>
  <c r="C23" i="71"/>
  <c r="C29" i="71" s="1"/>
  <c r="J14" i="71" s="1"/>
  <c r="I52" i="21"/>
  <c r="J52" i="21" s="1"/>
  <c r="E48" i="21"/>
  <c r="S5" i="59"/>
  <c r="M20" i="46"/>
  <c r="L71" i="39"/>
  <c r="M69" i="39"/>
  <c r="M64" i="40"/>
  <c r="L66" i="40"/>
  <c r="E40" i="36"/>
  <c r="F40" i="36" s="1"/>
  <c r="E41" i="36"/>
  <c r="F41" i="36" s="1"/>
  <c r="C37" i="36"/>
  <c r="B3" i="36" s="1"/>
  <c r="B2" i="36" s="1"/>
  <c r="C36" i="36"/>
  <c r="R49" i="21" l="1"/>
  <c r="C49" i="21" s="1"/>
  <c r="B3" i="21" s="1"/>
  <c r="G52" i="21"/>
  <c r="H52" i="21" s="1"/>
  <c r="C56" i="71"/>
  <c r="C63" i="71" s="1"/>
  <c r="C36" i="71"/>
  <c r="J19" i="71"/>
  <c r="J17" i="71" s="1"/>
  <c r="Q50" i="71"/>
  <c r="C13" i="71"/>
  <c r="Q71" i="71" s="1"/>
  <c r="E53" i="21"/>
  <c r="F53" i="21" s="1"/>
  <c r="E52" i="21"/>
  <c r="F52" i="21" s="1"/>
  <c r="J22" i="71"/>
  <c r="J13" i="71"/>
  <c r="J23" i="71" s="1"/>
  <c r="I53" i="21"/>
  <c r="J53" i="21" s="1"/>
  <c r="N64" i="40"/>
  <c r="N66" i="40" s="1"/>
  <c r="M66" i="40"/>
  <c r="N69" i="39"/>
  <c r="N71" i="39" s="1"/>
  <c r="M71" i="39"/>
  <c r="C48" i="21" l="1"/>
  <c r="J35" i="71"/>
  <c r="C55" i="71"/>
  <c r="C64" i="71" s="1"/>
  <c r="C57" i="71" s="1"/>
  <c r="C66" i="71" s="1"/>
  <c r="C67" i="71" s="1"/>
  <c r="C70" i="71" s="1"/>
  <c r="C37" i="71"/>
  <c r="C30" i="71" s="1"/>
  <c r="C39" i="71" s="1"/>
  <c r="Q70" i="71" s="1"/>
  <c r="Q69" i="71" s="1"/>
  <c r="J16" i="71"/>
  <c r="J25" i="71" s="1"/>
  <c r="B2" i="21"/>
  <c r="C8" i="12"/>
  <c r="C10" i="12" s="1"/>
  <c r="J9" i="40"/>
  <c r="H9" i="40"/>
  <c r="F9" i="40"/>
  <c r="J9" i="39"/>
  <c r="H9" i="39"/>
  <c r="F9" i="39"/>
  <c r="L51" i="71"/>
  <c r="Q68" i="71" l="1"/>
  <c r="J39" i="71"/>
  <c r="J40" i="71" s="1"/>
  <c r="C40" i="71"/>
  <c r="H44" i="71"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46" i="71" l="1"/>
  <c r="E10" i="12"/>
  <c r="B2" i="71"/>
  <c r="B3" i="71" s="1"/>
  <c r="C43" i="71"/>
  <c r="Q66" i="71"/>
  <c r="Q76" i="71" s="1"/>
  <c r="J42" i="71"/>
  <c r="J43" i="71" s="1"/>
  <c r="Q57" i="71"/>
  <c r="Q63" i="71" s="1"/>
  <c r="Q48" i="71"/>
  <c r="Q54" i="71" s="1"/>
  <c r="R45" i="40"/>
  <c r="E44" i="40"/>
  <c r="G53" i="39"/>
  <c r="H53" i="39" s="1"/>
  <c r="G54" i="39"/>
  <c r="H54" i="39" s="1"/>
  <c r="G48" i="40"/>
  <c r="H48" i="40" s="1"/>
  <c r="G49" i="40"/>
  <c r="H49" i="40" s="1"/>
  <c r="I53" i="39"/>
  <c r="J53" i="39" s="1"/>
  <c r="R50" i="39"/>
  <c r="E49" i="39"/>
  <c r="I54" i="39" s="1"/>
  <c r="J54" i="39" s="1"/>
  <c r="E8" i="12" l="1"/>
  <c r="E54" i="39"/>
  <c r="F54" i="39" s="1"/>
  <c r="E53" i="39"/>
  <c r="F53" i="39" s="1"/>
  <c r="I49" i="40"/>
  <c r="J49" i="40" s="1"/>
  <c r="E49" i="40"/>
  <c r="F49" i="40" s="1"/>
  <c r="E48" i="40"/>
  <c r="F48" i="40" s="1"/>
  <c r="C49" i="39"/>
  <c r="C50" i="39"/>
  <c r="C44" i="40"/>
  <c r="C45" i="40"/>
  <c r="F7" i="72" l="1"/>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L43" i="9"/>
  <c r="B3" i="39"/>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J39" i="15"/>
  <c r="J40" i="15" s="1"/>
  <c r="L57" i="15"/>
  <c r="L60" i="15" s="1"/>
  <c r="Q68" i="15"/>
  <c r="C44" i="44"/>
  <c r="C45" i="44" s="1"/>
  <c r="B2" i="44" s="1"/>
  <c r="Q71" i="44"/>
  <c r="Q70" i="44" s="1"/>
  <c r="Q57" i="15" l="1"/>
  <c r="D10" i="12"/>
  <c r="Q67" i="15"/>
  <c r="L46" i="15"/>
  <c r="C46" i="15"/>
  <c r="Q66" i="15"/>
  <c r="J42" i="15"/>
  <c r="J43" i="15" s="1"/>
  <c r="B2" i="15"/>
  <c r="B3" i="15" s="1"/>
  <c r="D8" i="12" s="1"/>
  <c r="C43" i="15"/>
  <c r="Q48" i="15"/>
  <c r="Q54" i="15" s="1"/>
  <c r="Q58" i="15"/>
  <c r="Q63" i="15" s="1"/>
  <c r="L52" i="44"/>
  <c r="L58" i="44" s="1"/>
  <c r="L61" i="44" s="1"/>
  <c r="B3" i="44"/>
  <c r="B5" i="44"/>
  <c r="B4" i="44"/>
  <c r="E7" i="72" l="1"/>
  <c r="Q76" i="15"/>
  <c r="Q69" i="44"/>
  <c r="Q59" i="44"/>
  <c r="Q64" i="44" s="1"/>
  <c r="Q68" i="44"/>
  <c r="Q77" i="44" s="1"/>
  <c r="C6" i="12" l="1"/>
  <c r="C24" i="12" l="1"/>
  <c r="C28" i="12" s="1"/>
  <c r="C26" i="12" s="1"/>
  <c r="C29" i="12"/>
  <c r="G7" i="72"/>
  <c r="C31" i="12" l="1"/>
  <c r="C30" i="12" s="1"/>
  <c r="C35" i="12"/>
  <c r="C33" i="12" s="1"/>
  <c r="C36" i="12" l="1"/>
  <c r="B2" i="12" s="1"/>
  <c r="D19" i="9"/>
  <c r="G19" i="9" l="1"/>
  <c r="N43" i="9" s="1"/>
  <c r="D22" i="9"/>
  <c r="L44" i="9"/>
  <c r="B3" i="12"/>
  <c r="B4" i="12"/>
  <c r="B5" i="12"/>
  <c r="D21" i="9"/>
  <c r="D20" i="9"/>
  <c r="C32" i="9" l="1"/>
  <c r="C42" i="9" s="1"/>
  <c r="C44" i="9" s="1"/>
  <c r="G21" i="9"/>
  <c r="G20" i="9"/>
  <c r="G22" i="9"/>
  <c r="O38" i="9" l="1"/>
  <c r="I7" i="72" s="1"/>
  <c r="E8" i="72" s="1"/>
  <c r="H11" i="72" s="1"/>
  <c r="K11" i="72" s="1"/>
  <c r="N68" i="9"/>
  <c r="O43" i="9"/>
  <c r="R5" i="54"/>
  <c r="B48" i="63" s="1"/>
  <c r="C33" i="9"/>
  <c r="N38" i="9" s="1"/>
  <c r="K28" i="9" s="1"/>
  <c r="D63" i="9"/>
  <c r="C96" i="9" s="1"/>
  <c r="C91" i="9" s="1"/>
  <c r="C34" i="9"/>
  <c r="M38" i="9" s="1"/>
  <c r="K27" i="9" s="1"/>
  <c r="C35" i="9"/>
  <c r="F42" i="9" s="1"/>
  <c r="J11" i="72"/>
  <c r="D73" i="9"/>
  <c r="N73" i="9" s="1"/>
  <c r="C111" i="9"/>
  <c r="C104" i="9" s="1"/>
  <c r="D44" i="9"/>
  <c r="O39" i="9"/>
  <c r="N69" i="9"/>
  <c r="E44" i="9"/>
  <c r="F44" i="9"/>
  <c r="D14" i="66" l="1"/>
  <c r="F14" i="66" s="1"/>
  <c r="K25" i="9"/>
  <c r="K26" i="9"/>
  <c r="O11" i="72"/>
  <c r="G14" i="66" s="1"/>
  <c r="D70" i="9"/>
  <c r="C103" i="9"/>
  <c r="D71" i="9"/>
  <c r="D66" i="9" s="1"/>
  <c r="N72" i="9" s="1"/>
  <c r="C82" i="9"/>
  <c r="C81" i="9" s="1"/>
  <c r="C85" i="9" s="1"/>
  <c r="C86" i="9" s="1"/>
  <c r="D72" i="9" s="1"/>
  <c r="C90" i="9"/>
  <c r="C97" i="9" s="1"/>
  <c r="C98" i="9" s="1"/>
  <c r="E98" i="9" s="1"/>
  <c r="E99" i="9" s="1"/>
  <c r="E42" i="9"/>
  <c r="P5" i="54" s="1"/>
  <c r="B46" i="63" s="1"/>
  <c r="D42" i="9"/>
  <c r="Q5" i="54" s="1"/>
  <c r="B47" i="63" s="1"/>
  <c r="F8" i="72"/>
  <c r="M86" i="9"/>
  <c r="N86" i="9" s="1"/>
  <c r="M88" i="9"/>
  <c r="N88" i="9" s="1"/>
  <c r="M85" i="9"/>
  <c r="N85" i="9" s="1"/>
  <c r="M84" i="9"/>
  <c r="N84" i="9" s="1"/>
  <c r="M87" i="9"/>
  <c r="N87" i="9" s="1"/>
  <c r="M83" i="9"/>
  <c r="N83" i="9" s="1"/>
  <c r="R6" i="54"/>
  <c r="B50" i="63" s="1"/>
  <c r="K29" i="9"/>
  <c r="K30" i="9" s="1"/>
  <c r="C113" i="9"/>
  <c r="E14" i="66" l="1"/>
  <c r="C99" i="9"/>
  <c r="N89" i="9"/>
  <c r="O89" i="9" s="1"/>
  <c r="C114" i="9"/>
  <c r="E114" i="9" s="1"/>
  <c r="E115" i="9" s="1"/>
  <c r="C115" i="9" l="1"/>
  <c r="D76" i="9" s="1"/>
  <c r="D74" i="9" s="1"/>
  <c r="N74" i="9" s="1"/>
  <c r="O77" i="9" s="1"/>
  <c r="O78" i="9" s="1"/>
  <c r="Q77" i="9" l="1"/>
  <c r="O79" i="9"/>
  <c r="O81" i="9" s="1"/>
  <c r="O80" i="9" l="1"/>
  <c r="H12" i="72" l="1"/>
  <c r="D15" i="66" s="1"/>
  <c r="F15" i="66" l="1"/>
  <c r="E15" i="66"/>
  <c r="B5" i="66"/>
  <c r="O12" i="72"/>
  <c r="H14" i="72"/>
  <c r="C5" i="66" l="1"/>
  <c r="D5" i="66"/>
  <c r="O14" i="72"/>
  <c r="K14" i="72"/>
  <c r="J14" i="72"/>
  <c r="M14" i="72"/>
  <c r="G15" i="66" l="1"/>
  <c r="B6" i="66" s="1"/>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Windows User</author>
  </authors>
  <commentList>
    <comment ref="D102" authorId="0">
      <text>
        <r>
          <rPr>
            <b/>
            <sz val="9"/>
            <color indexed="81"/>
            <rFont val="宋体"/>
            <family val="3"/>
            <charset val="134"/>
          </rPr>
          <t>面积来源为平面图</t>
        </r>
      </text>
    </comment>
    <comment ref="D110" authorId="0">
      <text>
        <r>
          <rPr>
            <b/>
            <sz val="9"/>
            <color indexed="81"/>
            <rFont val="宋体"/>
            <family val="3"/>
            <charset val="134"/>
          </rPr>
          <t>依据总平图</t>
        </r>
        <r>
          <rPr>
            <sz val="9"/>
            <color indexed="81"/>
            <rFont val="宋体"/>
            <family val="3"/>
            <charset val="134"/>
          </rPr>
          <t xml:space="preserve">
</t>
        </r>
      </text>
    </comment>
    <comment ref="G110" authorId="0">
      <text>
        <r>
          <rPr>
            <b/>
            <sz val="9"/>
            <color indexed="81"/>
            <rFont val="宋体"/>
            <family val="3"/>
            <charset val="134"/>
          </rPr>
          <t>依据规证</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<sst xmlns="http://schemas.openxmlformats.org/spreadsheetml/2006/main" count="9735" uniqueCount="4038">
  <si>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</si>
  <si>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</si>
  <si>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</si>
  <si>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</si>
  <si>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</si>
  <si>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</si>
  <si>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</si>
  <si>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</si>
  <si>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</si>
  <si>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</si>
  <si>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</si>
  <si>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</si>
  <si>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</si>
  <si>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</si>
  <si>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</si>
  <si>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</si>
  <si>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</si>
  <si>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</si>
  <si>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</si>
  <si>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</si>
  <si>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</si>
  <si>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</si>
  <si>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</si>
  <si>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</si>
  <si>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</si>
  <si>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</si>
  <si>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</si>
  <si>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</si>
  <si>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</si>
  <si>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</si>
  <si>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</si>
  <si>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</si>
  <si>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</si>
  <si>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</si>
  <si>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</si>
  <si>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</si>
  <si>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</si>
  <si>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</si>
  <si>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</si>
  <si>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</si>
  <si>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</si>
  <si>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</si>
  <si>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</si>
  <si>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</si>
  <si>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</si>
  <si>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</si>
  <si>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</si>
  <si>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</si>
  <si>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</si>
  <si>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</si>
  <si>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</si>
  <si>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</si>
  <si>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</si>
  <si>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</si>
  <si>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</si>
  <si>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</si>
  <si>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</si>
  <si>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</si>
  <si>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</si>
  <si>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</si>
  <si>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</si>
  <si>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</si>
  <si>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</si>
  <si>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</si>
  <si>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</si>
  <si>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</si>
  <si>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</si>
  <si>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</si>
  <si>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</si>
  <si>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</si>
  <si>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</si>
  <si>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</si>
  <si>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</si>
  <si>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</si>
  <si>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</si>
  <si>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</si>
  <si>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</si>
  <si>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</si>
  <si>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</si>
  <si>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</si>
  <si>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</si>
  <si>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</si>
  <si>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</si>
  <si>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</si>
  <si>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</si>
  <si>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</si>
  <si>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</si>
  <si>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</si>
  <si>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</si>
  <si>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</si>
  <si>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</si>
  <si>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</si>
  <si>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</si>
  <si>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</si>
  <si>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</si>
  <si>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</si>
  <si>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</si>
  <si>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</si>
  <si>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</si>
  <si>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</si>
  <si>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</si>
  <si>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</si>
  <si>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</si>
  <si>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</si>
  <si>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</si>
  <si>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</si>
  <si>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</si>
  <si>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</si>
  <si>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</si>
  <si>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</si>
  <si>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</si>
  <si>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</si>
  <si>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</si>
  <si>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</si>
  <si>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</si>
  <si>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</si>
  <si>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</si>
  <si>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</si>
  <si>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</si>
  <si>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</si>
  <si>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</si>
  <si>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</si>
  <si>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</si>
  <si>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</si>
  <si>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</si>
  <si>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</si>
  <si>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</si>
  <si>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</si>
  <si>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</si>
  <si>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</si>
  <si>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</si>
  <si>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</si>
  <si>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</si>
  <si>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</si>
  <si>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</si>
  <si>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</si>
  <si>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</si>
  <si>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</si>
  <si>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</si>
  <si>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</si>
  <si>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</si>
  <si>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</si>
  <si>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</si>
  <si>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</si>
  <si>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</si>
  <si>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</si>
  <si>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</si>
  <si>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</si>
  <si>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</si>
  <si>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</si>
  <si>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</si>
  <si>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</si>
  <si>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</si>
  <si>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</si>
  <si>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</si>
  <si>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</si>
  <si>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</si>
  <si>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</si>
  <si>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</si>
  <si>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</si>
  <si>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</si>
  <si>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</si>
  <si>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</si>
  <si>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</si>
  <si>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</si>
  <si>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</si>
  <si>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</si>
  <si>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</si>
  <si>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</si>
  <si>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</si>
  <si>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</si>
  <si>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</si>
  <si>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</si>
  <si>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</si>
  <si>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</si>
  <si>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</si>
  <si>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</si>
  <si>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</si>
  <si>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</si>
  <si>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</si>
  <si>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</si>
  <si>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</si>
  <si>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</si>
  <si>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</si>
  <si>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</si>
  <si>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</si>
  <si>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</si>
  <si>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</si>
  <si>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</si>
  <si>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</si>
  <si>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</si>
  <si>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</si>
  <si>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</si>
  <si>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</si>
  <si>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</si>
  <si>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</si>
  <si>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</si>
  <si>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</si>
  <si>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</si>
  <si>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</si>
  <si>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</si>
  <si>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</si>
  <si>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</si>
  <si>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</si>
  <si>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</si>
  <si>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</si>
  <si>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</si>
  <si>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</si>
  <si>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</si>
  <si>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</si>
  <si>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</si>
  <si>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</si>
  <si>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</si>
  <si>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</si>
  <si>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</si>
  <si>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</si>
  <si>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</si>
  <si>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</si>
  <si>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</si>
  <si>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</si>
  <si>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</si>
  <si>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</si>
  <si>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</si>
  <si>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</si>
  <si>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</si>
  <si>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</si>
  <si>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</si>
  <si>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</si>
  <si>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</si>
  <si>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</si>
  <si>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</si>
  <si>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</si>
  <si>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</si>
  <si>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</si>
  <si>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</si>
  <si>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</si>
  <si>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</si>
  <si>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</si>
  <si>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</si>
  <si>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</si>
  <si>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</si>
  <si>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</si>
  <si>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</si>
  <si>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</si>
  <si>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</si>
  <si>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</si>
  <si>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</si>
  <si>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</si>
  <si>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</si>
  <si>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</si>
  <si>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</si>
  <si>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</si>
  <si>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</si>
  <si>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</si>
  <si>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</si>
  <si>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</si>
  <si>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</si>
  <si>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</si>
  <si>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</si>
  <si>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</si>
  <si>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</si>
  <si>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</si>
  <si>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</si>
  <si>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</si>
  <si>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</si>
  <si>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</si>
  <si>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</si>
  <si>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</si>
  <si>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</si>
  <si>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</si>
  <si>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</si>
  <si>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</si>
  <si>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</si>
  <si>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</si>
  <si>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</si>
  <si>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</si>
  <si>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</si>
  <si>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</si>
  <si>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</si>
  <si>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</si>
  <si>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</si>
  <si>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</si>
  <si>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</si>
  <si>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</si>
  <si>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</si>
  <si>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</si>
  <si>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</si>
  <si>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</si>
  <si>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</si>
  <si>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</si>
  <si>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</si>
  <si>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</si>
  <si>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</si>
  <si>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</si>
  <si>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</si>
  <si>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</si>
  <si>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</si>
  <si>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</si>
  <si>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</si>
  <si>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</si>
  <si>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</si>
  <si>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</si>
  <si>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</si>
  <si>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</si>
  <si>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</si>
  <si>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</si>
  <si>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</si>
  <si>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</si>
  <si>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</si>
  <si>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</si>
  <si>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</si>
  <si>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</si>
  <si>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</si>
  <si>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</si>
  <si>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</si>
  <si>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</si>
  <si>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</si>
  <si>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</si>
  <si>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</si>
  <si>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</si>
  <si>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</si>
  <si>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</si>
  <si>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</si>
  <si>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</si>
  <si>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</si>
  <si>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</si>
  <si>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</si>
  <si>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</si>
  <si>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</si>
  <si>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</si>
  <si>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</si>
  <si>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</si>
  <si>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</si>
  <si>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</si>
  <si>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</si>
  <si>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</si>
  <si>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</si>
  <si>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</si>
  <si>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</si>
  <si>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</si>
  <si>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</si>
  <si>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</si>
  <si>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</si>
  <si>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</si>
  <si>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</si>
  <si>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</si>
  <si>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</si>
  <si>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</si>
  <si>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</si>
  <si>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</si>
  <si>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</si>
  <si>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</si>
  <si>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</si>
  <si>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</si>
  <si>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</si>
  <si>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</si>
  <si>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</si>
  <si>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</si>
  <si>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</si>
  <si>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</si>
  <si>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</si>
  <si>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</si>
  <si>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</si>
  <si>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</si>
  <si>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</si>
  <si>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</si>
  <si>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</si>
  <si>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</si>
  <si>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</si>
  <si>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</si>
  <si>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</si>
  <si>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</si>
  <si>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</si>
  <si>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</si>
  <si>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</si>
  <si>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</si>
  <si>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</si>
  <si>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</si>
  <si>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</si>
  <si>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</si>
  <si>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</si>
  <si>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</si>
  <si>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</si>
  <si>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</si>
  <si>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</si>
  <si>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</si>
  <si>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</si>
  <si>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</si>
  <si>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</si>
  <si>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</si>
  <si>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</si>
  <si>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</si>
  <si>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</si>
  <si>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</si>
  <si>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</si>
  <si>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</si>
  <si>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</si>
  <si>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</si>
  <si>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</si>
  <si>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</si>
  <si>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</si>
  <si>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</si>
  <si>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</si>
  <si>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</si>
  <si>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</si>
  <si>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</si>
  <si>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</si>
  <si>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</si>
  <si>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</si>
  <si>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</si>
  <si>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</si>
  <si>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</si>
  <si>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</si>
  <si>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</si>
  <si>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</si>
  <si>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</si>
  <si>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</si>
  <si>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</si>
  <si>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</si>
  <si>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</si>
  <si>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</si>
  <si>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</si>
  <si>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</si>
  <si>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</si>
  <si>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</si>
  <si>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</si>
  <si>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</si>
  <si>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</si>
  <si>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</si>
  <si>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</si>
  <si>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</si>
  <si>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</si>
  <si>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</si>
  <si>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</si>
  <si>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</si>
  <si>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</si>
  <si>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</si>
  <si>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</si>
  <si>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</si>
  <si>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</si>
  <si>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</si>
  <si>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</si>
  <si>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</si>
  <si>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</si>
  <si>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</si>
  <si>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</si>
  <si>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</si>
  <si>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</si>
  <si>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</si>
  <si>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</si>
  <si>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</si>
  <si>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</si>
  <si>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</si>
  <si>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</si>
  <si>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</si>
  <si>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</si>
  <si>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</si>
  <si>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</si>
  <si>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</si>
  <si>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</si>
  <si>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</si>
  <si>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</si>
  <si>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</si>
  <si>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</si>
  <si>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</si>
  <si>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</si>
  <si>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</si>
  <si>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</si>
  <si>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</si>
  <si>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</si>
  <si>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</si>
  <si>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</si>
  <si>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</si>
  <si>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</si>
  <si>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</si>
  <si>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</si>
  <si>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</si>
  <si>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</si>
  <si>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</si>
  <si>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</si>
  <si>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</si>
  <si>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</si>
  <si>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</si>
  <si>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</si>
  <si>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</si>
  <si>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</si>
  <si>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</si>
  <si>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</si>
  <si>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</si>
  <si>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</si>
  <si>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</si>
  <si>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</si>
  <si>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</si>
  <si>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</si>
  <si>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</si>
  <si>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</si>
  <si>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</si>
  <si>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</si>
  <si>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</si>
  <si>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</si>
  <si>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</si>
  <si>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</si>
  <si>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</si>
  <si>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</si>
  <si>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</si>
  <si>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</si>
  <si>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</si>
  <si>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</si>
  <si>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</si>
  <si>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</si>
  <si>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</si>
  <si>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</si>
  <si>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</si>
  <si>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</si>
  <si>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</si>
  <si>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</si>
  <si>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</si>
  <si>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</si>
  <si>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</si>
  <si>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</si>
  <si>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</si>
  <si>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</si>
  <si>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</si>
  <si>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</si>
  <si>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</si>
  <si>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</si>
  <si>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</si>
  <si>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</si>
  <si>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</si>
  <si>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</si>
  <si>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</si>
  <si>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</si>
  <si>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</si>
  <si>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</si>
  <si>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</si>
  <si>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</si>
  <si>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</si>
  <si>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</si>
  <si>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</si>
  <si>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</si>
  <si>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</si>
  <si>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</si>
  <si>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</si>
  <si>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</si>
  <si>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</si>
  <si>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</si>
  <si>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</si>
  <si>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</si>
  <si>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</si>
  <si>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</si>
  <si>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</si>
  <si>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</si>
  <si>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</si>
  <si>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</si>
  <si>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</si>
  <si>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</si>
  <si>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</si>
  <si>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</si>
  <si>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</si>
  <si>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</si>
  <si>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</si>
  <si>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</si>
  <si>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</si>
  <si>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</si>
  <si>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</si>
  <si>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</si>
  <si>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</si>
  <si>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</si>
  <si>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</si>
  <si>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</si>
  <si>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</si>
  <si>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</si>
  <si>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</si>
  <si>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</si>
  <si>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</si>
  <si>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</si>
  <si>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</si>
  <si>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</si>
  <si>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</si>
  <si>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</si>
  <si>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</si>
  <si>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</si>
  <si>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</si>
  <si>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</si>
  <si>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</si>
  <si>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</si>
  <si>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</si>
  <si>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</si>
  <si>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</si>
  <si>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</si>
  <si>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</si>
  <si>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</si>
  <si>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</si>
  <si>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</si>
  <si>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</si>
  <si>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</si>
  <si>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</si>
  <si>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</si>
  <si>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</si>
  <si>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</si>
  <si>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</si>
  <si>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</si>
  <si>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</si>
  <si>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</si>
  <si>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</si>
  <si>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</si>
  <si>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</si>
  <si>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</si>
  <si>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</si>
  <si>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</si>
  <si>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</si>
  <si>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</si>
  <si>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</si>
  <si>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</si>
  <si>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</si>
  <si>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</si>
  <si>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</si>
  <si>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</si>
  <si>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</si>
  <si>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</si>
  <si>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</si>
  <si>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</si>
  <si>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</si>
  <si>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</si>
  <si>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</si>
  <si>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</si>
  <si>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</si>
  <si>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</si>
  <si>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</si>
  <si>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</si>
  <si>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</si>
  <si>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</si>
  <si>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</si>
  <si>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</si>
  <si>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</si>
  <si>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</si>
  <si>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</si>
  <si>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</si>
  <si>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</si>
  <si>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</si>
  <si>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</si>
  <si>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</si>
  <si>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</si>
  <si>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</si>
  <si>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</si>
  <si>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</si>
  <si>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</si>
  <si>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</si>
  <si>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</si>
  <si>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</si>
  <si>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</si>
  <si>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</si>
  <si>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</si>
  <si>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</si>
  <si>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</si>
  <si>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</si>
  <si>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</si>
  <si>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</si>
  <si>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</si>
  <si>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</si>
  <si>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</si>
  <si>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</si>
  <si>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</si>
  <si>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</si>
  <si>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</si>
  <si>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</si>
  <si>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</si>
  <si>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</si>
  <si>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</si>
  <si>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</si>
  <si>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</si>
  <si>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</si>
  <si>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</si>
  <si>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</si>
  <si>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</si>
  <si>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</si>
  <si>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</si>
  <si>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</si>
  <si>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</si>
  <si>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</si>
  <si>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</si>
  <si>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</si>
  <si>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</si>
  <si>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</si>
  <si>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</si>
  <si>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</si>
  <si>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</si>
  <si>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</si>
  <si>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</si>
  <si>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</si>
  <si>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</si>
  <si>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</si>
  <si>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</si>
  <si>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</si>
  <si>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</si>
  <si>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</si>
  <si>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</si>
  <si>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</si>
  <si>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</si>
  <si>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</si>
  <si>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</si>
  <si>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</si>
  <si>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</si>
  <si>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</si>
  <si>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</si>
  <si>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</si>
  <si>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</si>
  <si>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</si>
  <si>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</si>
  <si>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</si>
  <si>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</si>
  <si>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</si>
  <si>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</si>
  <si>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</si>
  <si>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</si>
  <si>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</si>
  <si>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</si>
  <si>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</si>
  <si>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</si>
  <si>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</si>
  <si>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</si>
  <si>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</si>
  <si>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</si>
  <si>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</si>
  <si>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</si>
  <si>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</si>
  <si>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</si>
  <si>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</si>
  <si>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</si>
  <si>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</si>
  <si>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</si>
  <si>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</si>
  <si>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</si>
  <si>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</si>
  <si>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</si>
  <si>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</si>
  <si>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</si>
  <si>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</si>
  <si>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</si>
  <si>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</si>
  <si>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</si>
  <si>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</si>
  <si>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</si>
  <si>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</si>
  <si>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</si>
  <si>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</si>
  <si>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</si>
  <si>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</si>
  <si>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</si>
  <si>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</si>
  <si>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</si>
  <si>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</si>
  <si>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</si>
  <si>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</si>
  <si>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</si>
  <si>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</si>
  <si>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</si>
  <si>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</si>
  <si>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</si>
  <si>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</si>
  <si>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</si>
  <si>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</si>
  <si>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</si>
  <si>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</si>
  <si>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</si>
  <si>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</si>
  <si>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</si>
  <si>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</si>
  <si>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</si>
  <si>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</si>
  <si>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</si>
  <si>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</si>
  <si>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</si>
  <si>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</si>
  <si>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</si>
  <si>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</si>
  <si>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</si>
  <si>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</si>
  <si>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</si>
  <si>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</si>
  <si>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</si>
  <si>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</si>
  <si>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</si>
  <si>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</si>
  <si>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</si>
  <si>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</si>
  <si>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</si>
  <si>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</si>
  <si>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</si>
  <si>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</si>
  <si>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</si>
  <si>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</si>
  <si>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</si>
  <si>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</si>
  <si>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</si>
  <si>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</si>
  <si>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</si>
  <si>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</si>
  <si>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</si>
  <si>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</si>
  <si>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</si>
  <si>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</si>
  <si>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</si>
  <si>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</si>
  <si>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</si>
  <si>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</si>
  <si>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</si>
  <si>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</si>
  <si>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</si>
  <si>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</si>
  <si>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</si>
  <si>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</si>
  <si>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</si>
  <si>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</si>
  <si>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</si>
  <si>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</si>
  <si>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</si>
  <si>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</si>
  <si>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</si>
  <si>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</si>
  <si>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</si>
  <si>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</si>
  <si>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</si>
  <si>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</si>
  <si>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</si>
  <si>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</si>
  <si>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</si>
  <si>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</si>
  <si>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</si>
  <si>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</si>
  <si>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</si>
  <si>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</si>
  <si>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</si>
  <si>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</si>
  <si>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</si>
  <si>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</si>
  <si>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</si>
  <si>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</si>
  <si>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</si>
  <si>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</si>
  <si>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</si>
  <si>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</si>
  <si>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</si>
  <si>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</si>
  <si>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</si>
  <si>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</si>
  <si>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</si>
  <si>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</si>
  <si>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</si>
  <si>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</si>
  <si>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</si>
  <si>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</si>
  <si>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</si>
  <si>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</si>
  <si>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</si>
  <si>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</si>
  <si>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</si>
  <si>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</si>
  <si>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</si>
  <si>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</si>
  <si>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</si>
  <si>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</si>
  <si>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</si>
  <si>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</si>
  <si>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</si>
  <si>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</si>
  <si>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</si>
  <si>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</si>
  <si>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</si>
  <si>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</si>
  <si>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</si>
  <si>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</si>
  <si>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</si>
  <si>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</si>
  <si>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</si>
  <si>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</si>
  <si>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</si>
  <si>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</si>
  <si>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</si>
  <si>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</si>
  <si>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</si>
  <si>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</si>
  <si>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</si>
  <si>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</si>
  <si>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</si>
  <si>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</si>
  <si>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</si>
  <si>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</si>
  <si>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</si>
  <si>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</si>
  <si>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</si>
  <si>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</si>
  <si>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</si>
  <si>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</si>
  <si>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</si>
  <si>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</si>
  <si>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</si>
  <si>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</si>
  <si>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</si>
  <si>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</si>
  <si>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</si>
  <si>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</si>
  <si>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</si>
  <si>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</si>
  <si>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</si>
  <si>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</si>
  <si>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</si>
  <si>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</si>
  <si>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</si>
  <si>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</si>
  <si>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</si>
  <si>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</si>
  <si>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</si>
  <si>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</si>
  <si>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</si>
  <si>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</si>
  <si>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</si>
  <si>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</si>
  <si>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</si>
  <si>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</si>
  <si>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</si>
  <si>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</si>
  <si>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</si>
  <si>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</si>
  <si>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</si>
  <si>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</si>
  <si>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</si>
  <si>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</si>
  <si>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</si>
  <si>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</si>
  <si>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</si>
  <si>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</si>
  <si>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</si>
  <si>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</si>
  <si>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</si>
  <si>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</si>
  <si>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</si>
  <si>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</si>
  <si>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</si>
  <si>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</si>
  <si>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</si>
  <si>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</si>
  <si>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</si>
  <si>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</si>
  <si>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</si>
  <si>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</si>
  <si>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</si>
  <si>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</si>
  <si>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</si>
  <si>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</si>
  <si>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</si>
  <si>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</si>
  <si>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</si>
  <si>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</si>
  <si>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</si>
  <si>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</si>
  <si>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</si>
  <si>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</si>
  <si>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</si>
  <si>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</si>
  <si>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</si>
  <si>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</si>
  <si>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</si>
  <si>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</si>
  <si>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</si>
  <si>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</si>
  <si>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</si>
  <si>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</si>
  <si>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</si>
  <si>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</si>
  <si>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</si>
  <si>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</si>
  <si>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</si>
  <si>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</si>
  <si>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</si>
  <si>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</si>
  <si>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</si>
  <si>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</si>
  <si>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</si>
  <si>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</si>
  <si>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</si>
  <si>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</si>
  <si>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</si>
  <si>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</si>
  <si>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</si>
  <si>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</si>
  <si>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</si>
  <si>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</si>
  <si>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</si>
  <si>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</si>
  <si>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</si>
  <si>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</si>
  <si>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</si>
  <si>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</si>
  <si>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</si>
  <si>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</si>
  <si>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</si>
  <si>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</si>
  <si>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</si>
  <si>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</si>
  <si>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</si>
  <si>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</si>
  <si>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</si>
  <si>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</si>
  <si>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</si>
  <si>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</si>
  <si>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</si>
  <si>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</si>
  <si>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</si>
  <si>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</si>
  <si>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</si>
  <si>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</si>
  <si>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</si>
  <si>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</si>
  <si>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</si>
  <si>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</si>
  <si>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</si>
  <si>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</si>
  <si>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</si>
  <si>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</si>
  <si>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</si>
  <si>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</si>
  <si>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</si>
  <si>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</si>
  <si>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</si>
  <si>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</si>
  <si>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</si>
  <si>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</si>
  <si>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</si>
  <si>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</si>
  <si>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</si>
  <si>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</si>
  <si>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</si>
  <si>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</si>
  <si>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</si>
  <si>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</si>
  <si>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</si>
  <si>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</si>
  <si>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</si>
  <si>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</si>
  <si>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</si>
  <si>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</si>
  <si>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</si>
  <si>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</si>
  <si>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</si>
  <si>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</si>
  <si>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</si>
  <si>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</si>
  <si>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</si>
  <si>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</si>
  <si>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</si>
  <si>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</si>
  <si>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</si>
  <si>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</si>
  <si>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</si>
  <si>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</si>
  <si>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</si>
  <si>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</si>
  <si>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</si>
  <si>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</si>
  <si>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</si>
  <si>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</si>
  <si>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</si>
  <si>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</si>
  <si>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</si>
  <si>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</si>
  <si>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</si>
  <si>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</si>
  <si>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</si>
  <si>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</si>
  <si>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</si>
  <si>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</si>
  <si>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</si>
  <si>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</si>
  <si>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</si>
  <si>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</si>
  <si>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</si>
  <si>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</si>
  <si>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</si>
  <si>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</si>
  <si>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</si>
  <si>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</si>
  <si>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</si>
  <si>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</si>
  <si>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</si>
  <si>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</si>
  <si>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</si>
  <si>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</si>
  <si>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</si>
  <si>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</si>
  <si>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</si>
  <si>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</si>
  <si>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</si>
  <si>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</si>
  <si>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</si>
  <si>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</si>
  <si>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</si>
  <si>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</si>
  <si>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</si>
  <si>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</si>
  <si>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</si>
  <si>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</si>
  <si>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</si>
  <si>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</si>
  <si>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</si>
  <si>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</si>
  <si>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</si>
  <si>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</si>
  <si>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</si>
  <si>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</si>
  <si>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</si>
  <si>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</si>
  <si>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</si>
  <si>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</si>
  <si>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</si>
  <si>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</si>
  <si>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</si>
  <si>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</si>
  <si>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</si>
  <si>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</si>
  <si>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</si>
  <si>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</si>
  <si>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</si>
  <si>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</si>
  <si>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</si>
  <si>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</si>
  <si>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</si>
  <si>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</si>
  <si>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</si>
  <si>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</si>
  <si>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</si>
  <si>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</si>
  <si>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</si>
  <si>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</si>
  <si>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</si>
  <si>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</si>
  <si>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</si>
  <si>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</si>
  <si>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</si>
  <si>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</si>
  <si>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</si>
  <si>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</si>
  <si>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</si>
  <si>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</si>
  <si>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</si>
  <si>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</si>
  <si>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</si>
  <si>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</si>
  <si>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</si>
  <si>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</si>
  <si>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</si>
  <si>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</si>
  <si>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</si>
  <si>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</si>
  <si>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</si>
  <si>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</si>
  <si>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</si>
  <si>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</si>
  <si>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</si>
  <si>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</si>
  <si>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</si>
  <si>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</si>
  <si>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</si>
  <si>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</si>
  <si>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</si>
  <si>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</si>
  <si>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</si>
  <si>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</si>
  <si>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</si>
  <si>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</si>
  <si>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</si>
  <si>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</si>
  <si>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</si>
  <si>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</si>
  <si>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</si>
  <si>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</si>
  <si>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</si>
  <si>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</si>
  <si>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</si>
  <si>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</si>
  <si>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</si>
  <si>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</si>
  <si>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</si>
  <si>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</si>
  <si>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</si>
  <si>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</si>
  <si>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</si>
  <si>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</si>
  <si>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</si>
  <si>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</si>
  <si>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</si>
  <si>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</si>
  <si>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</si>
  <si>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</si>
  <si>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</si>
  <si>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</si>
  <si>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</si>
  <si>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</si>
  <si>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</si>
  <si>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</si>
  <si>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</si>
  <si>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</si>
  <si>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</si>
  <si>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</si>
  <si>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</si>
  <si>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</si>
  <si>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</si>
  <si>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</si>
  <si>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</si>
  <si>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</si>
  <si>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</si>
  <si>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</si>
  <si>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</si>
  <si>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</si>
  <si>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</si>
  <si>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</si>
  <si>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</si>
  <si>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</si>
  <si>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</si>
  <si>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</si>
  <si>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</si>
  <si>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</si>
  <si>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</si>
  <si>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</si>
  <si>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</si>
  <si>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</si>
  <si>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</si>
  <si>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</si>
  <si>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</si>
  <si>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</si>
  <si>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</si>
  <si>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</si>
  <si>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</si>
  <si>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</si>
  <si>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</si>
  <si>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</si>
  <si>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</si>
  <si>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</si>
  <si>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</si>
  <si>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</si>
  <si>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</si>
  <si>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</si>
  <si>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</si>
  <si>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</si>
  <si>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</si>
  <si>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</si>
  <si>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</si>
  <si>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</si>
  <si>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</si>
  <si>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</si>
  <si>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</si>
  <si>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</si>
  <si>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</si>
  <si>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</si>
  <si>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</si>
  <si>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</si>
  <si>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</si>
  <si>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</si>
  <si>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</si>
  <si>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</si>
  <si>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</si>
  <si>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</si>
  <si>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</si>
  <si>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</si>
  <si>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</si>
  <si>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</si>
  <si>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</si>
  <si>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</si>
  <si>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</si>
  <si>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</si>
  <si>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</si>
  <si>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</si>
  <si>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</si>
  <si>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</si>
  <si>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</si>
  <si>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</si>
  <si>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</si>
  <si>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</si>
  <si>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</si>
  <si>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</si>
  <si>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</si>
  <si>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</si>
  <si>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</si>
  <si>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</si>
  <si>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</si>
  <si>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</si>
  <si>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</si>
  <si>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</si>
  <si>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</si>
  <si>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</si>
  <si>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</si>
  <si>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</si>
  <si>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</si>
  <si>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</si>
  <si>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</si>
  <si>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</si>
  <si>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</si>
  <si>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</si>
  <si>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</si>
  <si>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</si>
  <si>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</si>
  <si>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</si>
  <si>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</si>
  <si>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</si>
  <si>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</si>
  <si>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</si>
  <si>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</si>
  <si>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</si>
  <si>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</si>
  <si>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</si>
  <si>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</si>
  <si>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</si>
  <si>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</si>
  <si>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</si>
  <si>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</si>
  <si>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</si>
  <si>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</si>
  <si>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</si>
  <si>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</si>
  <si>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</si>
  <si>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</si>
  <si>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</si>
  <si>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</si>
  <si>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</si>
  <si>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</si>
  <si>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</si>
  <si>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</si>
  <si>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</si>
  <si>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</si>
  <si>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</si>
  <si>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</si>
  <si>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</si>
  <si>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</si>
  <si>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</si>
  <si>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</si>
  <si>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</si>
  <si>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</si>
  <si>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</si>
  <si>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</si>
  <si>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</si>
  <si>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</si>
  <si>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</si>
  <si>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</si>
  <si>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</si>
  <si>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</si>
  <si>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</si>
  <si>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</si>
  <si>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</si>
  <si>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</si>
  <si>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</si>
  <si>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</si>
  <si>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</si>
  <si>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</si>
  <si>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</si>
  <si>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</si>
  <si>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</si>
  <si>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</si>
  <si>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</si>
  <si>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</si>
  <si>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</si>
  <si>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</si>
  <si>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</si>
  <si>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</si>
  <si>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</si>
  <si>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</si>
  <si>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</si>
  <si>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</si>
  <si>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</si>
  <si>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</si>
  <si>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</si>
  <si>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</si>
  <si>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</si>
  <si>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</si>
  <si>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</si>
  <si>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</si>
  <si>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</si>
  <si>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</si>
  <si>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</si>
  <si>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</si>
  <si>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</si>
  <si>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</si>
  <si>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</si>
  <si>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</si>
  <si>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</si>
  <si>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</si>
  <si>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</si>
  <si>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</si>
  <si>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</si>
  <si>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</si>
  <si>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</si>
  <si>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</si>
  <si>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</si>
  <si>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</si>
  <si>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</si>
  <si>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</si>
  <si>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</si>
  <si>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</si>
  <si>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</si>
  <si>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</si>
  <si>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</si>
  <si>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</si>
  <si>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</si>
  <si>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</si>
  <si>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</si>
  <si>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</si>
  <si>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</si>
  <si>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</si>
  <si>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</si>
  <si>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</si>
  <si>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</si>
  <si>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</si>
  <si>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</si>
  <si>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</si>
  <si>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</si>
  <si>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</si>
  <si>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</si>
  <si>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</si>
  <si>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</si>
  <si>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</si>
  <si>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</si>
  <si>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</si>
  <si>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</si>
  <si>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</si>
  <si>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</si>
  <si>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</si>
  <si>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</si>
  <si>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</si>
  <si>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</si>
  <si>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</si>
  <si>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</si>
  <si>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</si>
  <si>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</si>
  <si>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</si>
  <si>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</si>
  <si>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</si>
  <si>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</si>
  <si>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</si>
  <si>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</si>
  <si>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</si>
  <si>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</si>
  <si>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</si>
  <si>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</si>
  <si>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</si>
  <si>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</si>
  <si>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</si>
  <si>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</si>
  <si>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</si>
  <si>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</si>
  <si>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</si>
  <si>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</si>
  <si>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</si>
  <si>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</si>
  <si>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</si>
  <si>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</si>
  <si>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</si>
  <si>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</si>
  <si>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</si>
  <si>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</si>
  <si>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</si>
  <si>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</si>
  <si>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</si>
  <si>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</si>
  <si>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</si>
  <si>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</si>
  <si>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</si>
  <si>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</si>
  <si>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</si>
  <si>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</si>
  <si>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</si>
  <si>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</si>
  <si>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</si>
  <si>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</si>
  <si>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</si>
  <si>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</si>
  <si>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</si>
  <si>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</si>
  <si>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</si>
  <si>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</si>
  <si>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</si>
  <si>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</si>
  <si>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</si>
  <si>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</si>
  <si>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</si>
  <si>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</si>
  <si>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</si>
  <si>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</si>
  <si>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</si>
  <si>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</si>
  <si>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</si>
  <si>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</si>
  <si>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</si>
  <si>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</si>
  <si>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</si>
  <si>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</si>
  <si>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</si>
  <si>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</si>
  <si>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</si>
  <si>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</si>
  <si>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</si>
  <si>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</si>
  <si>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</si>
  <si>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</si>
  <si>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</si>
  <si>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</si>
  <si>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</si>
  <si>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</si>
  <si>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</si>
  <si>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</si>
  <si>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</si>
  <si>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</si>
  <si>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</si>
  <si>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</si>
  <si>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</si>
  <si>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</si>
  <si>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</si>
  <si>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</si>
  <si>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</si>
  <si>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</si>
  <si>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</si>
  <si>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</si>
  <si>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</si>
  <si>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</si>
  <si>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</si>
  <si>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</si>
  <si>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</si>
  <si>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</si>
  <si>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</si>
  <si>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</si>
  <si>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</si>
  <si>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</si>
  <si>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</si>
  <si>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</si>
  <si>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</si>
  <si>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</si>
  <si>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</si>
  <si>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</si>
  <si>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</si>
  <si>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</si>
  <si>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</si>
  <si>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</si>
  <si>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</si>
  <si>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</si>
  <si>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</si>
  <si>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</si>
  <si>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</si>
  <si>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</si>
  <si>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</si>
  <si>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</si>
  <si>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</si>
  <si>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</si>
  <si>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</si>
  <si>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</si>
  <si>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</si>
  <si>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</si>
  <si>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</si>
  <si>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</si>
  <si>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</si>
  <si>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</si>
  <si>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</si>
  <si>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</si>
  <si>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</si>
  <si>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</si>
  <si>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</si>
  <si>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</si>
  <si>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</si>
  <si>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</si>
  <si>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</si>
  <si>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</si>
  <si>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</si>
  <si>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</si>
  <si>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</si>
  <si>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</si>
  <si>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</si>
  <si>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</si>
  <si>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</si>
  <si>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</si>
  <si>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</si>
  <si>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</si>
  <si>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</si>
  <si>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</si>
  <si>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</si>
  <si>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</si>
  <si>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</si>
  <si>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</si>
  <si>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</si>
  <si>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</si>
  <si>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</si>
  <si>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</si>
  <si>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</si>
  <si>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</si>
  <si>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</si>
  <si>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</si>
  <si>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</si>
  <si>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</si>
  <si>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</si>
  <si>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</si>
  <si>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</si>
  <si>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</si>
  <si>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</si>
  <si>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</si>
  <si>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</si>
  <si>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</si>
  <si>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</si>
  <si>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</si>
  <si>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</si>
  <si>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</si>
  <si>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</si>
  <si>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</si>
  <si>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</si>
  <si>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</si>
  <si>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</si>
  <si>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</si>
  <si>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</si>
  <si>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</si>
  <si>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</si>
  <si>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</si>
  <si>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</si>
  <si>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</si>
  <si>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</si>
  <si>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</si>
  <si>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</si>
  <si>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</si>
  <si>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</si>
  <si>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</si>
  <si>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</si>
  <si>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</si>
  <si>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</si>
  <si>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</si>
  <si>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</si>
  <si>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</si>
  <si>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</si>
  <si>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</si>
  <si>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</si>
  <si>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</si>
  <si>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</si>
  <si>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</si>
  <si>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</si>
  <si>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</si>
  <si>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</si>
  <si>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</si>
  <si>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</si>
  <si>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</si>
  <si>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</si>
  <si>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</si>
  <si>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</si>
  <si>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</si>
  <si>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</si>
  <si>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</si>
  <si>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</si>
  <si>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</si>
  <si>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</si>
  <si>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</si>
  <si>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</si>
  <si>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</si>
  <si>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</si>
  <si>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</si>
  <si>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</si>
  <si>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</si>
  <si>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</si>
  <si>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</si>
  <si>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</si>
  <si>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</si>
  <si>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</si>
  <si>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</si>
  <si>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</si>
  <si>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</si>
  <si>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</si>
  <si>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</si>
  <si>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</si>
  <si>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</si>
  <si>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</si>
  <si>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</si>
  <si>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</si>
  <si>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</si>
  <si>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</si>
  <si>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</si>
  <si>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</si>
  <si>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</si>
  <si>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</si>
  <si>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</si>
  <si>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</si>
  <si>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</si>
  <si>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</si>
  <si>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</si>
  <si>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</si>
  <si>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</si>
  <si>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</si>
  <si>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</si>
  <si>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</si>
  <si>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</si>
  <si>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</si>
  <si>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</si>
  <si>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</si>
  <si>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</si>
  <si>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</si>
  <si>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</si>
  <si>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</si>
  <si>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</si>
  <si>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</si>
  <si>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</si>
  <si>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</si>
  <si>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</si>
  <si>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</si>
  <si>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</si>
  <si>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</si>
  <si>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</si>
  <si>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</si>
  <si>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</si>
  <si>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</si>
  <si>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</si>
  <si>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</si>
  <si>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</si>
  <si>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</si>
  <si>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</si>
  <si>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</si>
  <si>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</si>
  <si>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</si>
  <si>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</si>
  <si>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</si>
  <si>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</si>
  <si>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</si>
  <si>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</si>
  <si>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</si>
  <si>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</si>
  <si>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</si>
  <si>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</si>
  <si>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</si>
  <si>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</si>
  <si>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</si>
  <si>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</si>
  <si>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</si>
  <si>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</si>
  <si>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</si>
  <si>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</si>
  <si>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</si>
  <si>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</si>
  <si>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</si>
  <si>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</si>
  <si>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</si>
  <si>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</si>
  <si>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</si>
  <si>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</si>
  <si>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</si>
  <si>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</si>
  <si>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</si>
  <si>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</si>
  <si>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</si>
  <si>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</si>
  <si>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</si>
  <si>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</si>
  <si>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</si>
  <si>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</si>
  <si>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</si>
  <si>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</si>
  <si>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</si>
  <si>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</si>
  <si>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</si>
  <si>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</si>
  <si>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</si>
  <si>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</si>
  <si>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</si>
  <si>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</si>
  <si>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</si>
  <si>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</si>
  <si>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</si>
  <si>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</si>
  <si>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</si>
  <si>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</si>
  <si>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</si>
  <si>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</si>
  <si>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</si>
  <si>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</si>
  <si>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</si>
  <si>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</si>
  <si>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</si>
  <si>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</si>
  <si>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</si>
  <si>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</si>
  <si>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</si>
  <si>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</si>
  <si>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</si>
  <si>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</si>
  <si>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</si>
  <si>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</si>
  <si>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</si>
  <si>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</si>
  <si>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</si>
  <si>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</si>
  <si>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</si>
  <si>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</si>
  <si>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</si>
  <si>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</si>
  <si>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</si>
  <si>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</si>
  <si>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</si>
  <si>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</si>
  <si>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</si>
  <si>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</si>
  <si>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</si>
  <si>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</si>
  <si>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</si>
  <si>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</si>
  <si>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</si>
  <si>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</si>
  <si>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</si>
  <si>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</si>
  <si>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</si>
  <si>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</si>
  <si>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</si>
  <si>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</si>
  <si>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</si>
  <si>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</si>
  <si>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</si>
  <si>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</si>
  <si>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</si>
  <si>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</si>
  <si>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</si>
  <si>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</si>
  <si>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</si>
  <si>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</si>
  <si>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</si>
  <si>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</si>
  <si>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</si>
  <si>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</si>
  <si>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</si>
  <si>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</si>
  <si>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</si>
  <si>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</si>
  <si>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</si>
  <si>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</si>
  <si>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</si>
  <si>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</si>
  <si>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</si>
  <si>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</si>
  <si>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</si>
  <si>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</si>
  <si>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</si>
  <si>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</si>
  <si>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</si>
  <si>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</si>
  <si>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</si>
  <si>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</si>
  <si>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</si>
  <si>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</si>
  <si>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</si>
  <si>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</si>
  <si>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</si>
  <si>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</si>
  <si>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</si>
  <si>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</si>
  <si>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</si>
  <si>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</si>
  <si>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</si>
  <si>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</si>
  <si>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</si>
  <si>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</si>
  <si>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</si>
  <si>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</si>
  <si>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</si>
  <si>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</si>
  <si>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</si>
  <si>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</si>
  <si>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</si>
  <si>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</si>
  <si>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</si>
  <si>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</si>
  <si>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</si>
  <si>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</si>
  <si>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</si>
  <si>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</si>
  <si>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</si>
  <si>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</si>
  <si>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</si>
  <si>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</si>
  <si>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</si>
  <si>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</si>
  <si>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</si>
  <si>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</si>
  <si>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</si>
  <si>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</si>
  <si>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</si>
  <si>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</si>
  <si>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</si>
  <si>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</si>
  <si>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</si>
  <si>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</si>
  <si>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</si>
  <si>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</si>
  <si>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</si>
  <si>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</si>
  <si>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</si>
  <si>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</si>
  <si>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</si>
  <si>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</si>
  <si>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</si>
  <si>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</si>
  <si>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</si>
  <si>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</si>
  <si>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</si>
  <si>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</si>
  <si>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</si>
  <si>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</si>
  <si>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</si>
  <si>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</si>
  <si>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</si>
  <si>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</si>
  <si>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</si>
  <si>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</si>
  <si>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</si>
  <si>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</si>
  <si>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</si>
  <si>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</si>
  <si>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</si>
  <si>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</si>
  <si>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</si>
  <si>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</si>
  <si>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</si>
  <si>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</si>
  <si>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</si>
  <si>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</si>
  <si>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</si>
  <si>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</si>
  <si>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</si>
  <si>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</si>
  <si>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</si>
  <si>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</si>
  <si>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</si>
  <si>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</si>
  <si>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</si>
  <si>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</si>
  <si>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</si>
  <si>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</si>
  <si>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</si>
  <si>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</si>
  <si>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</si>
  <si>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</si>
  <si>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</si>
  <si>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</si>
  <si>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</si>
  <si>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</si>
  <si>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</si>
  <si>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</si>
  <si>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</si>
  <si>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</si>
  <si>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</si>
  <si>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</si>
  <si>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</si>
  <si>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</si>
  <si>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</si>
  <si>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</si>
  <si>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</si>
  <si>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</si>
  <si>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</si>
  <si>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</si>
  <si>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</si>
  <si>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</si>
  <si>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</si>
  <si>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</si>
  <si>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</si>
  <si>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</si>
  <si>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</si>
  <si>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</si>
  <si>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</si>
  <si>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</si>
  <si>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</si>
  <si>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</si>
  <si>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</si>
  <si>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</si>
  <si>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</si>
  <si>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</si>
  <si>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</si>
  <si>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</si>
  <si>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</si>
  <si>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</si>
  <si>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</si>
  <si>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</si>
  <si>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</si>
  <si>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</si>
  <si>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</si>
  <si>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</si>
  <si>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</si>
  <si>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</si>
  <si>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</si>
  <si>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</si>
  <si>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</si>
  <si>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</si>
  <si>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</si>
  <si>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</si>
  <si>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</si>
  <si>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</si>
  <si>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</si>
  <si>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</si>
  <si>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</si>
  <si>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</si>
  <si>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</si>
  <si>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</si>
  <si>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</si>
  <si>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</si>
  <si>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</si>
  <si>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</si>
  <si>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</si>
  <si>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</si>
  <si>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</si>
  <si>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</si>
  <si>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</si>
  <si>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</si>
  <si>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</si>
  <si>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</si>
  <si>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</si>
  <si>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</si>
  <si>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</si>
  <si>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</si>
  <si>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</si>
  <si>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</si>
  <si>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</si>
  <si>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</si>
  <si>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</si>
  <si>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</si>
  <si>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</si>
  <si>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</si>
  <si>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</si>
  <si>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</si>
  <si>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</si>
  <si>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</si>
  <si>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</si>
  <si>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</si>
  <si>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</si>
  <si>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</si>
  <si>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</si>
  <si>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</si>
  <si>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</si>
  <si>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</si>
  <si>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</si>
  <si>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</si>
  <si>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</si>
  <si>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</si>
  <si>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</si>
  <si>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</si>
  <si>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</si>
  <si>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</si>
  <si>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</si>
  <si>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</si>
  <si>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</si>
  <si>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</si>
  <si>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</si>
  <si>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</si>
  <si>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</si>
  <si>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</si>
  <si>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</si>
  <si>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</si>
  <si>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</si>
  <si>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</si>
  <si>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</si>
  <si>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</si>
  <si>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</si>
  <si>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</si>
  <si>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</si>
  <si>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</si>
  <si>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</si>
  <si>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</si>
  <si>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</si>
  <si>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</si>
  <si>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</si>
  <si>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</si>
  <si>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</si>
  <si>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</si>
  <si>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</si>
  <si>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</si>
  <si>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</si>
  <si>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</si>
  <si>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</si>
  <si>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</si>
  <si>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</si>
  <si>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</si>
  <si>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</si>
  <si>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</si>
  <si>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</si>
  <si>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</si>
  <si>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</si>
  <si>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</si>
  <si>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</si>
  <si>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</si>
  <si>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</si>
  <si>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</si>
  <si>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</si>
  <si>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</si>
  <si>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</si>
  <si>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</si>
  <si>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</si>
  <si>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</si>
  <si>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</si>
  <si>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</si>
  <si>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</si>
  <si>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</si>
  <si>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</si>
  <si>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</si>
  <si>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</si>
  <si>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</si>
  <si>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</si>
  <si>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</si>
  <si>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</si>
  <si>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</si>
  <si>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</si>
  <si>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</si>
  <si>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</si>
  <si>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</si>
  <si>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</si>
  <si>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</si>
  <si>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</si>
  <si>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</si>
  <si>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</si>
  <si>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</si>
  <si>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</si>
  <si>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</si>
  <si>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</si>
  <si>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</si>
  <si>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</si>
  <si>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</si>
  <si>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</si>
  <si>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</si>
  <si>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</si>
  <si>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</si>
  <si>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</si>
  <si>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</si>
  <si>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</si>
  <si>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</si>
  <si>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</si>
  <si>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</si>
  <si>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</si>
  <si>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</si>
  <si>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</si>
  <si>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</si>
  <si>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</si>
  <si>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</si>
  <si>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</si>
  <si>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</si>
  <si>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</si>
  <si>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</si>
  <si>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</si>
  <si>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</si>
  <si>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</si>
  <si>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</si>
  <si>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</si>
  <si>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</si>
  <si>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</si>
  <si>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</si>
  <si>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</si>
  <si>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</si>
  <si>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</si>
  <si>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</si>
  <si>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</si>
  <si>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</si>
  <si>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</si>
  <si>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</si>
  <si>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</si>
  <si>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</si>
  <si>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</si>
  <si>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</si>
  <si>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</si>
  <si>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</si>
  <si>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</si>
  <si>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</si>
  <si>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</si>
  <si>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</si>
  <si>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</si>
  <si>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</si>
  <si>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</si>
  <si>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</si>
  <si>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</si>
  <si>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</si>
  <si>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</si>
  <si>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</si>
  <si>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</si>
  <si>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</si>
  <si>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</si>
  <si>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</si>
  <si>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</si>
  <si>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</si>
  <si>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</si>
  <si>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</si>
  <si>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</si>
  <si>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</si>
  <si>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</si>
  <si>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</si>
  <si>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</si>
  <si>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</si>
  <si>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</si>
  <si>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</si>
  <si>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</si>
  <si>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</si>
  <si>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</si>
  <si>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</si>
  <si>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</si>
  <si>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</si>
  <si>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</si>
  <si>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</si>
  <si>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</si>
  <si>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</si>
  <si>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</si>
  <si>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</si>
  <si>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</si>
  <si>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</si>
  <si>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</si>
  <si>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</si>
  <si>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</si>
  <si>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</si>
  <si>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</si>
  <si>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</si>
  <si>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</si>
  <si>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</si>
  <si>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</si>
  <si>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</si>
  <si>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</si>
  <si>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</si>
  <si>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</si>
  <si>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</si>
  <si>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</si>
  <si>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</si>
  <si>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</si>
  <si>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</si>
  <si>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</si>
  <si>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</si>
  <si>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</si>
  <si>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</si>
  <si>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</si>
  <si>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</si>
  <si>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</si>
  <si>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</si>
  <si>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</si>
  <si>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</si>
  <si>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</si>
  <si>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</si>
  <si>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</si>
  <si>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</si>
  <si>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</si>
  <si>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</si>
  <si>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</si>
  <si>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</si>
  <si>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</si>
  <si>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</si>
  <si>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</si>
  <si>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</si>
  <si>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</si>
  <si>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</si>
  <si>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</si>
  <si>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</si>
  <si>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</si>
  <si>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</si>
  <si>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</si>
  <si>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</si>
  <si>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</si>
  <si>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</si>
  <si>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</si>
  <si>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</si>
  <si>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</si>
  <si>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</si>
  <si>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</si>
  <si>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</si>
  <si>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</si>
  <si>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</si>
  <si>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</si>
  <si>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</si>
  <si>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</si>
  <si>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</si>
  <si>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</si>
  <si>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</si>
  <si>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</si>
  <si>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</si>
  <si>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</si>
  <si>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</si>
  <si>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</si>
  <si>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</si>
  <si>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</si>
  <si>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</si>
  <si>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</si>
  <si>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</si>
  <si>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</si>
  <si>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</si>
  <si>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</si>
  <si>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</si>
  <si>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</si>
  <si>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</si>
  <si>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</si>
  <si>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</si>
  <si>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</si>
  <si>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</si>
  <si>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</si>
  <si>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</si>
  <si>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</si>
  <si>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</si>
  <si>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</si>
  <si>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</si>
  <si>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</si>
  <si>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</si>
  <si>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</si>
  <si>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</si>
  <si>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</si>
  <si>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</si>
  <si>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</si>
  <si>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</si>
  <si>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</si>
  <si>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</si>
  <si>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</si>
  <si>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</si>
  <si>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</si>
  <si>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</si>
  <si>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</si>
  <si>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</si>
  <si>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</si>
  <si>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</si>
  <si>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</si>
  <si>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</si>
  <si>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</si>
  <si>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</si>
  <si>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</si>
  <si>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</si>
  <si>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</si>
  <si>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</si>
  <si>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</si>
  <si>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</si>
  <si>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</si>
  <si>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</si>
  <si>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</si>
  <si>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</si>
  <si>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</si>
  <si>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</si>
  <si>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</si>
  <si>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</si>
  <si>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</si>
  <si>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</si>
  <si>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</si>
  <si>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</si>
  <si>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</si>
  <si>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</si>
  <si>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</si>
  <si>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</si>
  <si>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</si>
  <si>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</si>
  <si>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</si>
  <si>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</si>
  <si>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</si>
  <si>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</si>
  <si>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</si>
  <si>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</si>
  <si>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</si>
  <si>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</si>
  <si>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</si>
  <si>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</si>
  <si>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</si>
  <si>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</si>
  <si>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</si>
  <si>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</si>
  <si>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</si>
  <si>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</si>
  <si>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</si>
  <si>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</si>
  <si>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</si>
  <si>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</si>
  <si>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</si>
  <si>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</si>
  <si>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</si>
  <si>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</si>
  <si>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</si>
  <si>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</si>
  <si>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</si>
  <si>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</si>
  <si>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</si>
  <si>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</si>
  <si>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</si>
  <si>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</si>
  <si>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</si>
  <si>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</si>
  <si>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</si>
  <si>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</si>
  <si>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</si>
  <si>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</si>
  <si>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</si>
  <si>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</si>
  <si>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</si>
  <si>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</si>
  <si>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</si>
  <si>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</si>
  <si>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</si>
  <si>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</si>
  <si>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</si>
  <si>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</si>
  <si>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</si>
  <si>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</si>
  <si>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</si>
  <si>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</si>
  <si>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</si>
  <si>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</si>
  <si>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</si>
  <si>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</si>
  <si>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</si>
  <si>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</si>
  <si>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</si>
  <si>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</si>
  <si>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</si>
  <si>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</si>
  <si>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</si>
  <si>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</si>
  <si>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</si>
  <si>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</si>
  <si>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</si>
  <si>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</si>
  <si>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</si>
  <si>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</si>
  <si>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</si>
  <si>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</si>
  <si>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</si>
  <si>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</si>
  <si>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</si>
  <si>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</si>
  <si>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</si>
  <si>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</si>
  <si>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</si>
  <si>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</si>
  <si>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</si>
  <si>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</si>
  <si>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</si>
  <si>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</si>
  <si>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</si>
  <si>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</si>
  <si>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</si>
  <si>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</si>
  <si>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</si>
  <si>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</si>
  <si>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</si>
  <si>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</si>
  <si>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</si>
  <si>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</si>
  <si>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</si>
  <si>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</si>
  <si>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</si>
  <si>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</si>
  <si>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</si>
  <si>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</si>
  <si>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</si>
  <si>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</si>
  <si>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</si>
  <si>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</si>
  <si>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</si>
  <si>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</si>
  <si>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</si>
  <si>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</si>
  <si>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</si>
  <si>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</si>
  <si>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</si>
  <si>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</si>
  <si>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</si>
  <si>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</si>
  <si>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</si>
  <si>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</si>
  <si>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</si>
  <si>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</si>
  <si>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</si>
  <si>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</si>
  <si>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</si>
  <si>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</si>
  <si>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</si>
  <si>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</si>
  <si>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</si>
  <si>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</si>
  <si>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</si>
  <si>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</si>
  <si>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</si>
  <si>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</si>
  <si>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</si>
  <si>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</si>
  <si>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</si>
  <si>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</si>
  <si>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</si>
  <si>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</si>
  <si>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</si>
  <si>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</si>
  <si>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</si>
  <si>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</si>
  <si>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</si>
  <si>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</si>
  <si>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</si>
  <si>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</si>
  <si>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</si>
  <si>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</si>
  <si>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</si>
  <si>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</si>
  <si>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</si>
  <si>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</si>
  <si>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</si>
  <si>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</si>
  <si>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</si>
  <si>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</si>
  <si>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</si>
  <si>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</si>
  <si>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</si>
  <si>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</si>
  <si>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</si>
  <si>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</si>
  <si>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</si>
  <si>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</si>
  <si>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</si>
  <si>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</si>
  <si>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</si>
  <si>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</si>
  <si>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</si>
  <si>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</si>
  <si>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</si>
  <si>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</si>
  <si>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</si>
  <si>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</si>
  <si>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</si>
  <si>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</si>
  <si>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</si>
  <si>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</si>
  <si>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</si>
  <si>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</si>
  <si>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</si>
  <si>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</si>
  <si>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</si>
  <si>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</si>
  <si>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</si>
  <si>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</si>
  <si>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</si>
  <si>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</si>
  <si>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</si>
  <si>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</si>
  <si>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</si>
  <si>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</si>
  <si>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</si>
  <si>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</si>
  <si>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</si>
  <si>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</si>
  <si>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</si>
  <si>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</si>
  <si>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</si>
  <si>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</si>
  <si>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</si>
  <si>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</si>
  <si>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</si>
  <si>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</si>
  <si>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</si>
  <si>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</si>
  <si>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</si>
  <si>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</si>
  <si>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</si>
  <si>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</si>
  <si>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</si>
  <si>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</si>
  <si>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</si>
  <si>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</si>
  <si>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</si>
  <si>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</si>
  <si>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</si>
  <si>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</si>
  <si>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</si>
  <si>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</si>
  <si>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</si>
  <si>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</si>
  <si>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</si>
  <si>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</si>
  <si>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</si>
  <si>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</si>
  <si>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</si>
  <si>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</si>
  <si>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</si>
  <si>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</si>
  <si>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</si>
  <si>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</si>
  <si>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</si>
  <si>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</si>
  <si>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</si>
  <si>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</si>
  <si>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</si>
  <si>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</si>
  <si>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</si>
  <si>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</si>
  <si>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</si>
  <si>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</si>
  <si>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</si>
  <si>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</si>
  <si>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</si>
  <si>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</si>
  <si>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</si>
  <si>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</si>
  <si>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</si>
  <si>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</si>
  <si>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</si>
  <si>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</si>
  <si>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</si>
  <si>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</si>
  <si>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</si>
  <si>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</si>
  <si>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</si>
  <si>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</si>
  <si>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</si>
  <si>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</si>
  <si>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</si>
  <si>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</si>
  <si>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</si>
  <si>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</si>
  <si>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</si>
  <si>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</si>
  <si>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</si>
  <si>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</si>
  <si>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</si>
  <si>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</si>
  <si>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</si>
  <si>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</si>
  <si>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</si>
  <si>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</si>
  <si>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</si>
  <si>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</si>
  <si>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</si>
  <si>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</si>
  <si>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</si>
  <si>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</si>
  <si>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</si>
  <si>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</si>
  <si>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</si>
  <si>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</si>
  <si>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</si>
  <si>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</si>
  <si>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</si>
  <si>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</si>
  <si>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</si>
  <si>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</si>
  <si>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</si>
  <si>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</si>
  <si>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</si>
  <si>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</si>
  <si>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</si>
  <si>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</si>
  <si>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</si>
  <si>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</si>
  <si>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</si>
  <si>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</si>
  <si>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</si>
  <si>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</si>
  <si>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</si>
  <si>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</si>
  <si>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</si>
  <si>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</si>
  <si>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</si>
  <si>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</si>
  <si>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</si>
  <si>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</si>
  <si>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</si>
  <si>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</si>
  <si>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</si>
  <si>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</si>
  <si>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</si>
  <si>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</si>
  <si>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</si>
  <si>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</si>
  <si>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</si>
  <si>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</si>
  <si>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</si>
  <si>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</si>
  <si>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</si>
  <si>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</si>
  <si>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</si>
  <si>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</si>
  <si>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</si>
  <si>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</si>
  <si>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</si>
  <si>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</si>
  <si>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</si>
  <si>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</si>
  <si>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</si>
  <si>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</si>
  <si>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</si>
  <si>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</si>
  <si>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</si>
  <si>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</si>
  <si>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</si>
  <si>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</si>
  <si>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</si>
  <si>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</si>
  <si>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</si>
  <si>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</si>
  <si>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</si>
  <si>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</si>
  <si>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</si>
  <si>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</si>
  <si>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</si>
  <si>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</si>
  <si>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</si>
  <si>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</si>
  <si>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</si>
  <si>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</si>
  <si>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</si>
  <si>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</si>
  <si>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</si>
  <si>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</si>
  <si>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</si>
  <si>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</si>
  <si>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</si>
  <si>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</si>
  <si>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</si>
  <si>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</si>
  <si>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</si>
  <si>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</si>
  <si>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</si>
  <si>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</si>
  <si>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</si>
  <si>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</si>
  <si>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</si>
  <si>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</si>
  <si>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</si>
  <si>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</si>
  <si>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</si>
  <si>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</si>
  <si>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</si>
  <si>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</si>
  <si>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</si>
  <si>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</si>
  <si>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</si>
  <si>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</si>
  <si>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</si>
  <si>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</si>
  <si>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</si>
  <si>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</si>
  <si>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</si>
  <si>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</si>
  <si>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</si>
  <si>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</si>
  <si>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</si>
  <si>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</si>
  <si>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</si>
  <si>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</si>
  <si>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</si>
  <si>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</si>
  <si>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</si>
  <si>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</si>
  <si>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</si>
  <si>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</si>
  <si>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</si>
  <si>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</si>
  <si>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</si>
  <si>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</si>
  <si>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</si>
  <si>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</si>
  <si>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</si>
  <si>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</si>
  <si>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</si>
  <si>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</si>
  <si>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</si>
  <si>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</si>
  <si>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</si>
  <si>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</si>
  <si>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</si>
  <si>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</si>
  <si>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</si>
  <si>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</si>
  <si>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</si>
  <si>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</si>
  <si>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</si>
  <si>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</si>
  <si>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</si>
  <si>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</si>
  <si>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</si>
  <si>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</si>
  <si>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</si>
  <si>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</si>
  <si>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</si>
  <si>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</si>
  <si>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</si>
  <si>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</si>
  <si>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</si>
  <si>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</si>
  <si>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</si>
  <si>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</si>
  <si>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</si>
  <si>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</si>
  <si>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</si>
  <si>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</si>
  <si>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</si>
  <si>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</si>
  <si>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</si>
  <si>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</si>
  <si>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</si>
  <si>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</si>
  <si>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</si>
  <si>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</si>
  <si>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</si>
  <si>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</si>
  <si>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</si>
  <si>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</si>
  <si>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</si>
  <si>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</si>
  <si>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</si>
  <si>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</si>
  <si>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</si>
  <si>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</si>
  <si>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</si>
  <si>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</si>
  <si>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</si>
  <si>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</si>
  <si>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</si>
  <si>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</si>
  <si>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</si>
  <si>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</si>
  <si>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</si>
  <si>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</si>
  <si>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</si>
  <si>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</si>
  <si>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</si>
  <si>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</si>
  <si>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</si>
  <si>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</si>
  <si>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</si>
  <si>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</si>
  <si>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</si>
  <si>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</si>
  <si>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</si>
  <si>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</si>
  <si>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</si>
  <si>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</si>
  <si>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</si>
  <si>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</si>
  <si>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</si>
  <si>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</si>
  <si>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</si>
  <si>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</si>
  <si>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</si>
  <si>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</si>
  <si>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</si>
  <si>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</si>
  <si>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</si>
  <si>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</si>
  <si>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</si>
  <si>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</si>
  <si>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</si>
  <si>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</si>
  <si>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</si>
  <si>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</si>
  <si>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</si>
  <si>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</si>
  <si>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</si>
  <si>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</si>
  <si>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</si>
  <si>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</si>
  <si>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</si>
  <si>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</si>
  <si>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</si>
  <si>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</si>
  <si>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</si>
  <si>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</si>
  <si>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</si>
  <si>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</si>
  <si>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</si>
  <si>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</si>
  <si>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</si>
  <si>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</si>
  <si>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</si>
  <si>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</si>
  <si>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</si>
  <si>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</si>
  <si>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</si>
  <si>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</si>
  <si>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</si>
  <si>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</si>
  <si>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</si>
  <si>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</si>
  <si>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</si>
  <si>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</si>
  <si>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</si>
  <si>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</si>
  <si>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</si>
  <si>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</si>
  <si>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</si>
  <si>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</si>
  <si>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</si>
  <si>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</si>
  <si>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</si>
  <si>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</si>
  <si>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</si>
  <si>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</si>
  <si>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</si>
  <si>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</si>
  <si>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</si>
  <si>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</si>
  <si>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</si>
  <si>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</si>
  <si>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</si>
  <si>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</si>
  <si>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</si>
  <si>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</si>
  <si>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</si>
  <si>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</si>
  <si>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</si>
  <si>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</si>
  <si>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</si>
  <si>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</si>
  <si>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</si>
  <si>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</si>
  <si>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</si>
  <si>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</si>
  <si>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</si>
  <si>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</si>
  <si>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</si>
  <si>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</si>
  <si>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</si>
  <si>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</si>
  <si>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</si>
  <si>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</si>
  <si>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</si>
  <si>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</si>
  <si>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</si>
  <si>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</si>
  <si>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</si>
  <si>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</si>
  <si>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</si>
  <si>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</si>
  <si>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</si>
  <si>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</si>
  <si>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</si>
  <si>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</si>
  <si>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</si>
  <si>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</si>
  <si>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</si>
  <si>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</si>
  <si>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</si>
  <si>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</si>
  <si>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</si>
  <si>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</si>
  <si>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</si>
  <si>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</si>
  <si>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</si>
  <si>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</si>
  <si>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</si>
  <si>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</si>
  <si>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</si>
  <si>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</si>
  <si>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</si>
  <si>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</si>
  <si>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</si>
  <si>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</si>
  <si>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</si>
  <si>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</si>
  <si>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</si>
  <si>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</si>
  <si>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</si>
  <si>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</si>
  <si>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</si>
  <si>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</si>
  <si>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</si>
  <si>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</si>
  <si>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</si>
  <si>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</si>
  <si>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</si>
  <si>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</si>
  <si>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</si>
  <si>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</si>
  <si>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</si>
  <si>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</si>
  <si>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</si>
  <si>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</si>
  <si>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</si>
  <si>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</si>
  <si>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</si>
  <si>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</si>
  <si>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</si>
  <si>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</si>
  <si>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</si>
  <si>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</si>
  <si>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</si>
  <si>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</si>
  <si>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</si>
  <si>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</si>
  <si>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</si>
  <si>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</si>
  <si>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</si>
  <si>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</si>
  <si>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</si>
  <si>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</si>
  <si>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</si>
  <si>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</si>
  <si>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</si>
  <si>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</si>
  <si>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</si>
  <si>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</si>
  <si>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</si>
  <si>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</si>
  <si>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</si>
  <si>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</si>
  <si>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</si>
  <si>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</si>
  <si>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</si>
  <si>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</si>
  <si>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</si>
  <si>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</si>
  <si>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</si>
  <si>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</si>
  <si>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</si>
  <si>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</si>
  <si>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</si>
  <si>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</si>
  <si>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</si>
  <si>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</si>
  <si>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</si>
  <si>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</si>
  <si>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</si>
  <si>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</si>
  <si>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</si>
  <si>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</si>
  <si>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</si>
  <si>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</si>
  <si>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</si>
  <si>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</si>
  <si>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</si>
  <si>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</si>
  <si>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</si>
  <si>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</si>
  <si>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</si>
  <si>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</si>
  <si>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</si>
  <si>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</si>
  <si>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</si>
  <si>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</si>
  <si>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</si>
  <si>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</si>
  <si>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</si>
  <si>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</si>
  <si>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</si>
  <si>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</si>
  <si>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</si>
  <si>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</si>
  <si>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</si>
  <si>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</si>
  <si>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</si>
  <si>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</si>
  <si>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</si>
  <si>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</si>
  <si>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</si>
  <si>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</si>
  <si>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</si>
  <si>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</si>
  <si>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</si>
  <si>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</si>
  <si>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</si>
  <si>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</si>
  <si>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</si>
  <si>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</si>
  <si>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</si>
  <si>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</si>
  <si>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</si>
  <si>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</si>
  <si>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</si>
  <si>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</si>
  <si>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</si>
  <si>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</si>
  <si>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</si>
  <si>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</si>
  <si>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</si>
  <si>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</si>
  <si>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</si>
  <si>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</si>
  <si>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</si>
  <si>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</si>
  <si>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</si>
  <si>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</si>
  <si>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</si>
  <si>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</si>
  <si>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</si>
  <si>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</si>
  <si>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</si>
  <si>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</si>
  <si>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</si>
  <si>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</si>
  <si>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</si>
  <si>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</si>
  <si>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</si>
  <si>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</si>
  <si>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</si>
  <si>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</si>
  <si>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</si>
  <si>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</si>
  <si>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</si>
  <si>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</si>
  <si>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</si>
  <si>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</si>
  <si>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</si>
  <si>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</si>
  <si>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</si>
  <si>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</si>
  <si>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</si>
  <si>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</si>
  <si>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</si>
  <si>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</si>
  <si>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</si>
  <si>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</si>
  <si>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</si>
  <si>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</si>
  <si>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</si>
  <si>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</si>
  <si>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</si>
  <si>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</si>
  <si>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</si>
  <si>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</si>
  <si>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</si>
  <si>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</si>
  <si>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</si>
  <si>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</si>
  <si>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</si>
  <si>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</si>
  <si>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</si>
  <si>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</si>
  <si>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</si>
  <si>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</si>
  <si>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</si>
  <si>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</si>
  <si>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</si>
  <si>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</si>
  <si>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</si>
  <si>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</si>
  <si>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</si>
  <si>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其他：</t>
  </si>
  <si>
    <t>抵押价格</t>
  </si>
  <si>
    <t>出让</t>
  </si>
  <si>
    <t>商业</t>
  </si>
  <si>
    <t>车库</t>
  </si>
  <si>
    <t>否</t>
  </si>
  <si>
    <t>地上</t>
  </si>
  <si>
    <t>普通住宅</t>
  </si>
  <si>
    <t>A地块</t>
    <phoneticPr fontId="225" type="noConversion"/>
  </si>
  <si>
    <t>土地面积</t>
    <phoneticPr fontId="225" type="noConversion"/>
  </si>
  <si>
    <t>本次评估范围</t>
    <phoneticPr fontId="225" type="noConversion"/>
  </si>
  <si>
    <t>宗地位置</t>
    <phoneticPr fontId="225" type="noConversion"/>
  </si>
  <si>
    <t>江苏省南京市栖霞区栖霞大道以北兴智街以东NO.2020G24地块一</t>
    <phoneticPr fontId="225" type="noConversion"/>
  </si>
  <si>
    <t>楼栋</t>
  </si>
  <si>
    <t>房号</t>
  </si>
  <si>
    <t>预测面积</t>
  </si>
  <si>
    <t>预测套内面积</t>
  </si>
  <si>
    <r>
      <t xml:space="preserve">建设工程规划许可证[建字第320113202100502、320113202100528号] </t>
    </r>
    <r>
      <rPr>
        <sz val="10"/>
        <color rgb="FFFF0000"/>
        <rFont val="宋体"/>
        <family val="3"/>
        <charset val="134"/>
        <scheme val="minor"/>
      </rPr>
      <t>规证无法拆分各用途</t>
    </r>
    <phoneticPr fontId="225" type="noConversion"/>
  </si>
  <si>
    <t>地块</t>
    <phoneticPr fontId="225" type="noConversion"/>
  </si>
  <si>
    <t>《不动产权证书》证号</t>
  </si>
  <si>
    <t>分摊土地面积</t>
    <phoneticPr fontId="225" type="noConversion"/>
  </si>
  <si>
    <t>建筑面积依据</t>
    <phoneticPr fontId="225" type="noConversion"/>
  </si>
  <si>
    <t>楼号</t>
    <phoneticPr fontId="225" type="noConversion"/>
  </si>
  <si>
    <t>经营性</t>
    <phoneticPr fontId="225" type="noConversion"/>
  </si>
  <si>
    <t>小计</t>
    <phoneticPr fontId="225" type="noConversion"/>
  </si>
  <si>
    <t>非经营性</t>
    <phoneticPr fontId="225" type="noConversion"/>
  </si>
  <si>
    <t>合计</t>
    <phoneticPr fontId="225" type="noConversion"/>
  </si>
  <si>
    <t>车位个数</t>
    <phoneticPr fontId="225" type="noConversion"/>
  </si>
  <si>
    <t>工程进度情况</t>
    <phoneticPr fontId="225" type="noConversion"/>
  </si>
  <si>
    <t>C-2号楼</t>
  </si>
  <si>
    <t>地上</t>
    <phoneticPr fontId="225" type="noConversion"/>
  </si>
  <si>
    <t>地下</t>
    <phoneticPr fontId="225" type="noConversion"/>
  </si>
  <si>
    <t>C-4号楼</t>
  </si>
  <si>
    <t>楼层</t>
    <phoneticPr fontId="225" type="noConversion"/>
  </si>
  <si>
    <t>可售住宅</t>
    <phoneticPr fontId="225" type="noConversion"/>
  </si>
  <si>
    <t>自持住宅</t>
    <phoneticPr fontId="225" type="noConversion"/>
  </si>
  <si>
    <t>公寓</t>
    <phoneticPr fontId="225" type="noConversion"/>
  </si>
  <si>
    <t>自持商业</t>
    <phoneticPr fontId="225" type="noConversion"/>
  </si>
  <si>
    <t>酒店</t>
    <phoneticPr fontId="225" type="noConversion"/>
  </si>
  <si>
    <t>办公</t>
    <phoneticPr fontId="225" type="noConversion"/>
  </si>
  <si>
    <t>可售商业</t>
    <phoneticPr fontId="225" type="noConversion"/>
  </si>
  <si>
    <t>车库</t>
    <phoneticPr fontId="225" type="noConversion"/>
  </si>
  <si>
    <t>设备</t>
    <phoneticPr fontId="225" type="noConversion"/>
  </si>
  <si>
    <t>形象进度</t>
    <phoneticPr fontId="225" type="noConversion"/>
  </si>
  <si>
    <t>住宅</t>
    <phoneticPr fontId="225" type="noConversion"/>
  </si>
  <si>
    <t>配套</t>
    <phoneticPr fontId="225" type="noConversion"/>
  </si>
  <si>
    <t>A分区</t>
    <phoneticPr fontId="225" type="noConversion"/>
  </si>
  <si>
    <t>苏（2020）宁栖不动产权第0047731号</t>
    <phoneticPr fontId="225" type="noConversion"/>
  </si>
  <si>
    <t>《南京新港NO.2020G24地块A/B/C/D/F分区总平面图》</t>
    <phoneticPr fontId="225" type="noConversion"/>
  </si>
  <si>
    <t>——</t>
    <phoneticPr fontId="225" type="noConversion"/>
  </si>
  <si>
    <t>尚未开工</t>
    <phoneticPr fontId="225" type="noConversion"/>
  </si>
  <si>
    <t>A-1#</t>
    <phoneticPr fontId="225" type="noConversion"/>
  </si>
  <si>
    <t>B1-26</t>
    <phoneticPr fontId="225" type="noConversion"/>
  </si>
  <si>
    <t>B分区</t>
    <phoneticPr fontId="225" type="noConversion"/>
  </si>
  <si>
    <t>苏（2020）宁栖不动产权第0047749号</t>
    <phoneticPr fontId="225" type="noConversion"/>
  </si>
  <si>
    <t>尚未开工</t>
    <phoneticPr fontId="225" type="noConversion"/>
  </si>
  <si>
    <t>A-2#</t>
  </si>
  <si>
    <t>B1-26</t>
    <phoneticPr fontId="225" type="noConversion"/>
  </si>
  <si>
    <t>C分区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</si>
  <si>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0047746</t>
    </r>
    <r>
      <rPr>
        <sz val="10"/>
        <color rgb="FF000000"/>
        <rFont val="仿宋_GB2312"/>
        <family val="3"/>
        <charset val="134"/>
      </rPr>
      <t>号</t>
    </r>
  </si>
  <si>
    <t>《建设工程规划许可证》[建字第320113202100157号]及《南京市房屋面积预测算成果报告》</t>
    <phoneticPr fontId="225" type="noConversion"/>
  </si>
  <si>
    <t>C-1#</t>
    <phoneticPr fontId="225" type="noConversion"/>
  </si>
  <si>
    <t>7、8号楼23层施工，其余楼栋已结构封顶</t>
    <phoneticPr fontId="225" type="noConversion"/>
  </si>
  <si>
    <t>A-3#</t>
    <phoneticPr fontId="225" type="noConversion"/>
  </si>
  <si>
    <t>B1-26</t>
    <phoneticPr fontId="225" type="noConversion"/>
  </si>
  <si>
    <t>C-2#</t>
    <phoneticPr fontId="225" type="noConversion"/>
  </si>
  <si>
    <t>C-3#</t>
  </si>
  <si>
    <t>A-4#</t>
  </si>
  <si>
    <t>C-4#</t>
    <phoneticPr fontId="225" type="noConversion"/>
  </si>
  <si>
    <t>A-5#</t>
  </si>
  <si>
    <t>C-5#</t>
  </si>
  <si>
    <t>A-6#</t>
  </si>
  <si>
    <t>C-6#</t>
  </si>
  <si>
    <t>A-7#</t>
  </si>
  <si>
    <t>C-7#</t>
  </si>
  <si>
    <t>A-8#</t>
  </si>
  <si>
    <t>C-8#</t>
  </si>
  <si>
    <t>A-9#</t>
  </si>
  <si>
    <t>C-9#</t>
  </si>
  <si>
    <t>A-10#</t>
  </si>
  <si>
    <t>B1-23</t>
    <phoneticPr fontId="225" type="noConversion"/>
  </si>
  <si>
    <t>C-10#</t>
  </si>
  <si>
    <t>C-5号楼</t>
  </si>
  <si>
    <t>A-11#</t>
  </si>
  <si>
    <t>B1-25</t>
    <phoneticPr fontId="225" type="noConversion"/>
  </si>
  <si>
    <t>C-地下车库</t>
    <phoneticPr fontId="225" type="noConversion"/>
  </si>
  <si>
    <t>A-12#</t>
  </si>
  <si>
    <t>B2-26</t>
    <phoneticPr fontId="225" type="noConversion"/>
  </si>
  <si>
    <t>A-13#</t>
  </si>
  <si>
    <t>D分区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</si>
  <si>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0047956</t>
    </r>
    <r>
      <rPr>
        <sz val="10"/>
        <color rgb="FF000000"/>
        <rFont val="仿宋_GB2312"/>
        <family val="3"/>
        <charset val="134"/>
      </rPr>
      <t>号</t>
    </r>
  </si>
  <si>
    <t>《建设工程规划许可证》[建字第320113202011974号]、《南京新港NO.2020G24地块A/B/C/D/F分区总平面图》及《南京市房屋面积预测算成果报告》</t>
    <phoneticPr fontId="225" type="noConversion"/>
  </si>
  <si>
    <t>D-1#</t>
    <phoneticPr fontId="225" type="noConversion"/>
  </si>
  <si>
    <t>1号楼8层施工，其余楼栋尚未开工</t>
    <phoneticPr fontId="225" type="noConversion"/>
  </si>
  <si>
    <t>A-14#</t>
  </si>
  <si>
    <t>D-7#</t>
  </si>
  <si>
    <t>A-15#</t>
  </si>
  <si>
    <t>B2-25</t>
    <phoneticPr fontId="225" type="noConversion"/>
  </si>
  <si>
    <t>D-8#</t>
  </si>
  <si>
    <t>——</t>
    <phoneticPr fontId="225" type="noConversion"/>
  </si>
  <si>
    <t>——</t>
    <phoneticPr fontId="225" type="noConversion"/>
  </si>
  <si>
    <t>A-16#</t>
  </si>
  <si>
    <t>D-9#</t>
  </si>
  <si>
    <t>A-17#</t>
  </si>
  <si>
    <t>D-地下室</t>
    <phoneticPr fontId="225" type="noConversion"/>
  </si>
  <si>
    <t>——</t>
    <phoneticPr fontId="225" type="noConversion"/>
  </si>
  <si>
    <t>A-18#</t>
  </si>
  <si>
    <t>A-19#</t>
  </si>
  <si>
    <t>F分区</t>
    <phoneticPr fontId="225" type="noConversion"/>
  </si>
  <si>
    <t>苏（2020）宁栖不动产权第0047739号</t>
    <phoneticPr fontId="225" type="noConversion"/>
  </si>
  <si>
    <t>《南京新港NO.2020G24地块A/B/C/D/F分区总平面图》</t>
    <phoneticPr fontId="225" type="noConversion"/>
  </si>
  <si>
    <t>已结构封顶</t>
    <phoneticPr fontId="225" type="noConversion"/>
  </si>
  <si>
    <t>A-20#</t>
  </si>
  <si>
    <t>地下空间</t>
    <phoneticPr fontId="225" type="noConversion"/>
  </si>
  <si>
    <t>苏（2020）宁栖不动产权第0047736号</t>
    <phoneticPr fontId="225" type="noConversion"/>
  </si>
  <si>
    <t>A-21#</t>
  </si>
  <si>
    <t>合计</t>
    <phoneticPr fontId="225" type="noConversion"/>
  </si>
  <si>
    <t>A-22#</t>
  </si>
  <si>
    <t>综合工程进度</t>
    <phoneticPr fontId="225" type="noConversion"/>
  </si>
  <si>
    <t>A-地下车库</t>
    <phoneticPr fontId="225" type="noConversion"/>
  </si>
  <si>
    <t>工程进度</t>
    <phoneticPr fontId="225" type="noConversion"/>
  </si>
  <si>
    <t>南京新港NO.2020G24地块A/B/C/D/F分区总平面图</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</si>
  <si>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</si>
  <si>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</si>
  <si>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</si>
  <si>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</si>
  <si>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</si>
  <si>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</si>
  <si>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</si>
  <si>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</si>
  <si>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</si>
  <si>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车位个数</t>
    <phoneticPr fontId="225" type="noConversion"/>
  </si>
  <si>
    <t>C-9号楼</t>
  </si>
  <si>
    <t>B地块</t>
    <phoneticPr fontId="225" type="noConversion"/>
  </si>
  <si>
    <t>建设工程规划许可证[建字第320113202100048、320113202200098、320113202200099号]</t>
    <phoneticPr fontId="225" type="noConversion"/>
  </si>
  <si>
    <t>酒店式公寓</t>
    <phoneticPr fontId="225" type="noConversion"/>
  </si>
  <si>
    <t>大中型商场</t>
    <phoneticPr fontId="225" type="noConversion"/>
  </si>
  <si>
    <t>配套</t>
    <phoneticPr fontId="225" type="noConversion"/>
  </si>
  <si>
    <t>楼层</t>
    <phoneticPr fontId="225" type="noConversion"/>
  </si>
  <si>
    <t>B-3</t>
    <phoneticPr fontId="225" type="noConversion"/>
  </si>
  <si>
    <t>B-4</t>
  </si>
  <si>
    <t>B2-29</t>
    <phoneticPr fontId="225" type="noConversion"/>
  </si>
  <si>
    <t>B-5</t>
  </si>
  <si>
    <t>B-地下室一</t>
    <phoneticPr fontId="225" type="noConversion"/>
  </si>
  <si>
    <t>B2-5</t>
    <phoneticPr fontId="225" type="noConversion"/>
  </si>
  <si>
    <t>人防</t>
    <phoneticPr fontId="225" type="noConversion"/>
  </si>
  <si>
    <t>总计</t>
    <phoneticPr fontId="225" type="noConversion"/>
  </si>
  <si>
    <t>公寓</t>
    <phoneticPr fontId="225" type="noConversion"/>
  </si>
  <si>
    <t>易购广场</t>
    <phoneticPr fontId="225" type="noConversion"/>
  </si>
  <si>
    <t>酒店</t>
    <phoneticPr fontId="225" type="noConversion"/>
  </si>
  <si>
    <t>办公</t>
    <phoneticPr fontId="225" type="noConversion"/>
  </si>
  <si>
    <t>可售商业</t>
    <phoneticPr fontId="225" type="noConversion"/>
  </si>
  <si>
    <t>C地块</t>
    <phoneticPr fontId="225" type="noConversion"/>
  </si>
  <si>
    <t>测绘</t>
    <phoneticPr fontId="225" type="noConversion"/>
  </si>
  <si>
    <t>C-1</t>
    <phoneticPr fontId="225" type="noConversion"/>
  </si>
  <si>
    <t>C-6号楼</t>
  </si>
  <si>
    <t>C-2</t>
    <phoneticPr fontId="225" type="noConversion"/>
  </si>
  <si>
    <t>B1-26</t>
    <phoneticPr fontId="225" type="noConversion"/>
  </si>
  <si>
    <t>C-3</t>
  </si>
  <si>
    <t>C-4</t>
  </si>
  <si>
    <t>C-5</t>
  </si>
  <si>
    <t>C-6</t>
  </si>
  <si>
    <t>C-7</t>
  </si>
  <si>
    <t>C-8</t>
  </si>
  <si>
    <t>B1-26</t>
    <phoneticPr fontId="225" type="noConversion"/>
  </si>
  <si>
    <t>C-9</t>
  </si>
  <si>
    <t>B1-25</t>
    <phoneticPr fontId="225" type="noConversion"/>
  </si>
  <si>
    <t>C-10</t>
  </si>
  <si>
    <t>B1-25</t>
    <phoneticPr fontId="225" type="noConversion"/>
  </si>
  <si>
    <t>合计</t>
    <phoneticPr fontId="225" type="noConversion"/>
  </si>
  <si>
    <t>建设工程规划许可证[建字第320113202100157号]</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</si>
  <si>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</si>
  <si>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</si>
  <si>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</si>
  <si>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</si>
  <si>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</si>
  <si>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</si>
  <si>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</si>
  <si>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</si>
  <si>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</si>
  <si>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C-11#</t>
    <phoneticPr fontId="225" type="noConversion"/>
  </si>
  <si>
    <t>C-12#</t>
  </si>
  <si>
    <t>C-13#</t>
  </si>
  <si>
    <t>C-14#</t>
  </si>
  <si>
    <t>C-地下车库</t>
    <phoneticPr fontId="225" type="noConversion"/>
  </si>
  <si>
    <t>未售部分</t>
    <phoneticPr fontId="225" type="noConversion"/>
  </si>
  <si>
    <t>车位个数</t>
    <phoneticPr fontId="225" type="noConversion"/>
  </si>
  <si>
    <t>C地上总建筑面积</t>
    <phoneticPr fontId="225" type="noConversion"/>
  </si>
  <si>
    <t>合计</t>
    <phoneticPr fontId="225" type="noConversion"/>
  </si>
  <si>
    <t>C地块地上分摊土地</t>
    <phoneticPr fontId="225" type="noConversion"/>
  </si>
  <si>
    <t>D地块</t>
    <phoneticPr fontId="225" type="noConversion"/>
  </si>
  <si>
    <t>土地面积</t>
    <phoneticPr fontId="225" type="noConversion"/>
  </si>
  <si>
    <t>测绘</t>
    <phoneticPr fontId="225" type="noConversion"/>
  </si>
  <si>
    <t xml:space="preserve"> </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</si>
  <si>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</si>
  <si>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</si>
  <si>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</si>
  <si>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</si>
  <si>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</si>
  <si>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</si>
  <si>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办公</t>
    <phoneticPr fontId="225" type="noConversion"/>
  </si>
  <si>
    <t>车库</t>
    <phoneticPr fontId="225" type="noConversion"/>
  </si>
  <si>
    <t>配套</t>
    <phoneticPr fontId="225" type="noConversion"/>
  </si>
  <si>
    <t>设备</t>
    <phoneticPr fontId="225" type="noConversion"/>
  </si>
  <si>
    <t>住宅已建2-8层</t>
    <phoneticPr fontId="225" type="noConversion"/>
  </si>
  <si>
    <t>住宅未建</t>
    <phoneticPr fontId="225" type="noConversion"/>
  </si>
  <si>
    <t>D-1</t>
    <phoneticPr fontId="225" type="noConversion"/>
  </si>
  <si>
    <t>B1-32</t>
    <phoneticPr fontId="225" type="noConversion"/>
  </si>
  <si>
    <t>D-2</t>
  </si>
  <si>
    <t>B1-33</t>
    <phoneticPr fontId="225" type="noConversion"/>
  </si>
  <si>
    <t>D2-D5已售罄</t>
    <phoneticPr fontId="225" type="noConversion"/>
  </si>
  <si>
    <t>D-3</t>
  </si>
  <si>
    <t>B1-33</t>
    <phoneticPr fontId="225" type="noConversion"/>
  </si>
  <si>
    <t>D-4</t>
  </si>
  <si>
    <t>B1-31</t>
    <phoneticPr fontId="225" type="noConversion"/>
  </si>
  <si>
    <t>D-5</t>
  </si>
  <si>
    <t>B1-31</t>
    <phoneticPr fontId="225" type="noConversion"/>
  </si>
  <si>
    <t>建设工程规划许可证[建字第320113202011974号]</t>
    <phoneticPr fontId="225" type="noConversion"/>
  </si>
  <si>
    <t>D-6</t>
    <phoneticPr fontId="225" type="noConversion"/>
  </si>
  <si>
    <t>D-7</t>
  </si>
  <si>
    <t>D-8</t>
  </si>
  <si>
    <t>D-9</t>
  </si>
  <si>
    <t>D-10</t>
  </si>
  <si>
    <t>B1-21</t>
    <phoneticPr fontId="225" type="noConversion"/>
  </si>
  <si>
    <t>D-地下室</t>
    <phoneticPr fontId="225" type="noConversion"/>
  </si>
  <si>
    <t>南京新港NO.2020G24地块A/B/C/D/F分区总平面图</t>
    <phoneticPr fontId="225" type="noConversion"/>
  </si>
  <si>
    <t>人防</t>
    <phoneticPr fontId="225" type="noConversion"/>
  </si>
  <si>
    <t>总计</t>
    <phoneticPr fontId="225" type="noConversion"/>
  </si>
  <si>
    <t>商业</t>
    <phoneticPr fontId="225" type="noConversion"/>
  </si>
  <si>
    <t>D地上总建筑面积</t>
    <phoneticPr fontId="225" type="noConversion"/>
  </si>
  <si>
    <t>D地块地上分摊土地</t>
    <phoneticPr fontId="225" type="noConversion"/>
  </si>
  <si>
    <t>F地块</t>
    <phoneticPr fontId="225" type="noConversion"/>
  </si>
  <si>
    <t>建设工程规划许可证[建字第210113202011975号]</t>
    <phoneticPr fontId="225" type="noConversion"/>
  </si>
  <si>
    <t>社区中心</t>
    <phoneticPr fontId="225" type="noConversion"/>
  </si>
  <si>
    <t>B1-5</t>
    <phoneticPr fontId="225" type="noConversion"/>
  </si>
  <si>
    <t>地下空间</t>
    <phoneticPr fontId="225" type="noConversion"/>
  </si>
  <si>
    <t>C-7号楼</t>
  </si>
  <si>
    <t>总土地面积</t>
    <phoneticPr fontId="225" type="noConversion"/>
  </si>
  <si>
    <t>本次评估土地面积</t>
    <phoneticPr fontId="225" type="noConversion"/>
  </si>
  <si>
    <t>本次评估建筑面积</t>
    <phoneticPr fontId="225" type="noConversion"/>
  </si>
  <si>
    <t>所有住宅面积</t>
    <phoneticPr fontId="225" type="noConversion"/>
  </si>
  <si>
    <t>C-8号楼</t>
  </si>
  <si>
    <t>底商</t>
  </si>
  <si>
    <t>地下</t>
  </si>
  <si>
    <t>住宅</t>
    <phoneticPr fontId="7" type="noConversion"/>
  </si>
  <si>
    <t>商业</t>
    <phoneticPr fontId="7" type="noConversion"/>
  </si>
  <si>
    <t>车库</t>
    <phoneticPr fontId="7" type="noConversion"/>
  </si>
  <si>
    <t>利息：取LPR加浮动点数</t>
  </si>
  <si>
    <t>工程进度</t>
  </si>
  <si>
    <t>不动产收益法-车库</t>
  </si>
  <si>
    <t>售价</t>
  </si>
  <si>
    <t>苏宁世茂·璀璨云著</t>
    <phoneticPr fontId="3" type="noConversion"/>
  </si>
  <si>
    <t>滨江龙湖翡翠上城</t>
    <phoneticPr fontId="3" type="noConversion"/>
  </si>
  <si>
    <r>
      <rPr>
        <sz val="11"/>
        <color theme="9" tint="-0.249977111117893"/>
        <rFont val="宋体"/>
        <family val="3"/>
        <charset val="134"/>
      </rPr>
      <t>项目位置</t>
    </r>
    <phoneticPr fontId="3" type="noConversion"/>
  </si>
  <si>
    <t>住宅</t>
    <phoneticPr fontId="21" type="noConversion"/>
  </si>
  <si>
    <t>60-70（含）</t>
  </si>
  <si>
    <t>正常</t>
  </si>
  <si>
    <t>较好</t>
  </si>
  <si>
    <t>一般</t>
  </si>
  <si>
    <t>土地（套用方法）</t>
  </si>
  <si>
    <t>押一</t>
  </si>
  <si>
    <t>按租金收入计税</t>
  </si>
  <si>
    <t>钢混</t>
  </si>
  <si>
    <t>不动产收益法-商业</t>
  </si>
  <si>
    <t>已部分缴纳</t>
  </si>
  <si>
    <t>地块名称</t>
  </si>
  <si>
    <t>地块编号</t>
  </si>
  <si>
    <t>板块</t>
  </si>
  <si>
    <t>用地性质</t>
  </si>
  <si>
    <t>建设用地面积(㎡)</t>
  </si>
  <si>
    <t>规划建筑面积(㎡)</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</si>
  <si>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</si>
  <si>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</si>
  <si>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</si>
  <si>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</si>
  <si>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</si>
  <si>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</si>
  <si>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</si>
  <si>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</si>
  <si>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</si>
  <si>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</si>
  <si>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</si>
  <si>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</si>
  <si>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</si>
  <si>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</si>
  <si>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</si>
  <si>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</si>
  <si>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</si>
  <si>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</si>
  <si>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</si>
  <si>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</si>
  <si>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</si>
  <si>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</si>
  <si>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</si>
  <si>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</si>
  <si>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</si>
  <si>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</si>
  <si>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</si>
  <si>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</si>
  <si>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</si>
  <si>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</si>
  <si>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</si>
  <si>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</si>
  <si>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</si>
  <si>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</si>
  <si>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</si>
  <si>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</si>
  <si>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栖霞区仙林白象片区仙林大道以北、天佑路以西(EAc030-12-45)地块    </t>
  </si>
  <si>
    <t xml:space="preserve"> NO.2022G07</t>
  </si>
  <si>
    <t xml:space="preserve"> 仙林湖</t>
  </si>
  <si>
    <t xml:space="preserve"> 综合用地(含住宅)</t>
  </si>
  <si>
    <t xml:space="preserve"> ≥1,≤2.6</t>
  </si>
  <si>
    <t xml:space="preserve"> R2二类居住用地</t>
  </si>
  <si>
    <t xml:space="preserve">2022年第1批次 </t>
  </si>
  <si>
    <t xml:space="preserve"> 3.00 </t>
  </si>
  <si>
    <t xml:space="preserve"> ≤20%</t>
  </si>
  <si>
    <t xml:space="preserve"> ≤80</t>
  </si>
  <si>
    <t xml:space="preserve"> 限房价,限地价,摇号/摇珠/抽签</t>
  </si>
  <si>
    <t xml:space="preserve"> 限地价</t>
  </si>
  <si>
    <t xml:space="preserve"> --</t>
  </si>
  <si>
    <t xml:space="preserve"> 已成交</t>
  </si>
  <si>
    <t xml:space="preserve"> 南京金羚房地产开发有限公司  </t>
  </si>
  <si>
    <t xml:space="preserve"> 电建地产</t>
  </si>
  <si>
    <t xml:space="preserve"> 2022-04-20 16:00</t>
  </si>
  <si>
    <t xml:space="preserve"> 住宅 70 年 商业 40 年</t>
  </si>
  <si>
    <t xml:space="preserve"> 101500 </t>
  </si>
  <si>
    <t xml:space="preserve"> -- </t>
  </si>
  <si>
    <t xml:space="preserve"> 23410</t>
  </si>
  <si>
    <t xml:space="preserve"> 13.41</t>
  </si>
  <si>
    <t xml:space="preserve"> 13357</t>
  </si>
  <si>
    <t xml:space="preserve">栖霞区马群街道宁杭公路以南、马高路东西两侧地块    </t>
  </si>
  <si>
    <t xml:space="preserve"> NO.2022G10</t>
  </si>
  <si>
    <t xml:space="preserve"> 城东南片</t>
  </si>
  <si>
    <t xml:space="preserve"> ≥1,≤3.31</t>
  </si>
  <si>
    <t xml:space="preserve"> R2二类居住用地 Aa居住社区中心用地 Bb商办混合用地</t>
  </si>
  <si>
    <t xml:space="preserve"> 1.28 </t>
  </si>
  <si>
    <t xml:space="preserve"> ≤45%</t>
  </si>
  <si>
    <t xml:space="preserve"> ≤100</t>
  </si>
  <si>
    <t xml:space="preserve"> 江苏宁句轨道交通有限公司  </t>
  </si>
  <si>
    <t xml:space="preserve"> 南京地铁集团</t>
  </si>
  <si>
    <t xml:space="preserve"> 216000 </t>
  </si>
  <si>
    <t xml:space="preserve"> 10843</t>
  </si>
  <si>
    <t xml:space="preserve"> 14.29</t>
  </si>
  <si>
    <t xml:space="preserve"> 21822</t>
  </si>
  <si>
    <t xml:space="preserve">栖霞区仙林白象片区仙林大道以北、天佑路以西(EAc030-12-48)地块    </t>
  </si>
  <si>
    <t xml:space="preserve"> NO.2022G08</t>
  </si>
  <si>
    <t xml:space="preserve"> 住宅用地</t>
  </si>
  <si>
    <t xml:space="preserve"> 70年</t>
  </si>
  <si>
    <t xml:space="preserve"> 200000 </t>
  </si>
  <si>
    <t xml:space="preserve"> 23485</t>
  </si>
  <si>
    <t xml:space="preserve"> 13451</t>
  </si>
  <si>
    <t xml:space="preserve">栖霞区燕子矶街道经五路以东、松花江路以南地块    </t>
  </si>
  <si>
    <t xml:space="preserve"> NO.2021G119</t>
  </si>
  <si>
    <t xml:space="preserve"> 燕子矶</t>
  </si>
  <si>
    <t xml:space="preserve"> ≥1,≤3</t>
  </si>
  <si>
    <t xml:space="preserve"> Rb商住混合用地</t>
  </si>
  <si>
    <t xml:space="preserve">2021年第3批次 </t>
  </si>
  <si>
    <t xml:space="preserve"> 12.00 </t>
  </si>
  <si>
    <t xml:space="preserve"> ≤30%</t>
  </si>
  <si>
    <t xml:space="preserve"> 南京国诚置业有限公司  </t>
  </si>
  <si>
    <t xml:space="preserve"> 安居集团</t>
  </si>
  <si>
    <t xml:space="preserve"> 2021-11-23 09:30</t>
  </si>
  <si>
    <t xml:space="preserve"> 商业40、住宅70</t>
  </si>
  <si>
    <t xml:space="preserve"> 253000 </t>
  </si>
  <si>
    <t xml:space="preserve"> 20518</t>
  </si>
  <si>
    <t xml:space="preserve"> 14.48</t>
  </si>
  <si>
    <t xml:space="preserve"> 14077</t>
  </si>
  <si>
    <t xml:space="preserve"> NO.2021G79</t>
  </si>
  <si>
    <t xml:space="preserve"> 新尧</t>
  </si>
  <si>
    <t xml:space="preserve"> ≥1,≤2.5</t>
  </si>
  <si>
    <t xml:space="preserve"> 城镇住宅-普通商品住房</t>
  </si>
  <si>
    <t xml:space="preserve">2021年第2批次 </t>
  </si>
  <si>
    <t xml:space="preserve"> ≤25%</t>
  </si>
  <si>
    <t xml:space="preserve"> 限房价,限地价</t>
  </si>
  <si>
    <t xml:space="preserve"> 安徽卓瑞地产有限公司  </t>
  </si>
  <si>
    <t xml:space="preserve"> 贵安新区产业发展,芜湖建投</t>
  </si>
  <si>
    <t xml:space="preserve"> 2021-09-24 09:30</t>
  </si>
  <si>
    <t xml:space="preserve"> 124000 </t>
  </si>
  <si>
    <t xml:space="preserve"> 16761</t>
  </si>
  <si>
    <t xml:space="preserve"> 13.76</t>
  </si>
  <si>
    <t xml:space="preserve"> 11267</t>
  </si>
  <si>
    <t xml:space="preserve">栖霞区燕子矶街道怡园路以东、松花江路以南地块    </t>
  </si>
  <si>
    <t xml:space="preserve"> NO.2021G82</t>
  </si>
  <si>
    <t xml:space="preserve"> ≥1,≤2.8</t>
  </si>
  <si>
    <t xml:space="preserve"> 2.00 </t>
  </si>
  <si>
    <t xml:space="preserve"> 珠海华发实业股份有限公司  </t>
  </si>
  <si>
    <t xml:space="preserve"> 华发股份</t>
  </si>
  <si>
    <t xml:space="preserve"> 295000 </t>
  </si>
  <si>
    <t xml:space="preserve"> 21128</t>
  </si>
  <si>
    <t xml:space="preserve"> 14.34</t>
  </si>
  <si>
    <t xml:space="preserve"> 13522</t>
  </si>
  <si>
    <t xml:space="preserve">栖霞区仙林白象片区西湖大沟以南、天佑路以西地块    </t>
  </si>
  <si>
    <t xml:space="preserve"> NO.2021G80</t>
  </si>
  <si>
    <t xml:space="preserve"> ≥1,≤2.2</t>
  </si>
  <si>
    <t xml:space="preserve"> ≤60</t>
  </si>
  <si>
    <t xml:space="preserve"> 中海企业发展集团有限公司  </t>
  </si>
  <si>
    <t xml:space="preserve"> 中国海外发展</t>
  </si>
  <si>
    <t xml:space="preserve"> 260000 </t>
  </si>
  <si>
    <t xml:space="preserve"> 22383</t>
  </si>
  <si>
    <t xml:space="preserve"> 14.54</t>
  </si>
  <si>
    <t xml:space="preserve"> 14457</t>
  </si>
  <si>
    <t xml:space="preserve">栖霞区燕子矶街道仙林副城新港片区恒竞路以南、经十三路以东地块    </t>
  </si>
  <si>
    <t xml:space="preserve"> NO.2021G78</t>
  </si>
  <si>
    <t xml:space="preserve"> 杭州滨江房产集团股份有限公司  </t>
  </si>
  <si>
    <t xml:space="preserve"> 滨江集团</t>
  </si>
  <si>
    <t xml:space="preserve"> 203000 </t>
  </si>
  <si>
    <t xml:space="preserve"> 15735</t>
  </si>
  <si>
    <t xml:space="preserve"> 14.04</t>
  </si>
  <si>
    <t xml:space="preserve"> 12202</t>
  </si>
  <si>
    <t xml:space="preserve">栖霞区仙林街道元化路以东、纬地路以南地块    </t>
  </si>
  <si>
    <t xml:space="preserve"> NO.2021G43</t>
  </si>
  <si>
    <t xml:space="preserve"> ≥1,≤2.13</t>
  </si>
  <si>
    <t xml:space="preserve">2021年第1批次 </t>
  </si>
  <si>
    <t xml:space="preserve"> 限地价,限房价,摇号/摇珠/抽签</t>
  </si>
  <si>
    <t xml:space="preserve"> 0.00</t>
  </si>
  <si>
    <t xml:space="preserve"> 江苏兰华投资开发有限公司  </t>
  </si>
  <si>
    <t xml:space="preserve"> 新城发展,联发集团</t>
  </si>
  <si>
    <t xml:space="preserve"> 2021-05-18 09:30</t>
  </si>
  <si>
    <t xml:space="preserve"> 380000 </t>
  </si>
  <si>
    <t xml:space="preserve"> 25476</t>
  </si>
  <si>
    <t xml:space="preserve"> 29.69</t>
  </si>
  <si>
    <t xml:space="preserve"> 14157</t>
  </si>
  <si>
    <t xml:space="preserve">栖霞区迈皋桥街道迈尧西路以北、北苑东路以西地块    </t>
  </si>
  <si>
    <t xml:space="preserve"> NO.2021G42</t>
  </si>
  <si>
    <t xml:space="preserve"> 迈皋桥</t>
  </si>
  <si>
    <t xml:space="preserve"> ≥1,≤1.7</t>
  </si>
  <si>
    <t xml:space="preserve"> ≤35</t>
  </si>
  <si>
    <t xml:space="preserve"> 江苏富园房地产开发有限公司  </t>
  </si>
  <si>
    <t xml:space="preserve"> 江苏富园集团</t>
  </si>
  <si>
    <t xml:space="preserve"> 61000 </t>
  </si>
  <si>
    <t xml:space="preserve"> 26292</t>
  </si>
  <si>
    <t xml:space="preserve"> 29.79</t>
  </si>
  <si>
    <t xml:space="preserve"> 12649</t>
  </si>
  <si>
    <t xml:space="preserve">栖霞区马群街道马高路以西、芝嘉花园东侧地块   </t>
  </si>
  <si>
    <t xml:space="preserve"> NO.2021G05</t>
  </si>
  <si>
    <t xml:space="preserve"> 1.0&lt;far≤2.2</t>
  </si>
  <si>
    <t xml:space="preserve">-- </t>
  </si>
  <si>
    <t xml:space="preserve"> ≤25</t>
  </si>
  <si>
    <t xml:space="preserve"> 长沙玫瑰园房地产开发有限公司  </t>
  </si>
  <si>
    <t xml:space="preserve"> 正荣地产,时代中国控股</t>
  </si>
  <si>
    <t xml:space="preserve"> 2021-02-22 10:00</t>
  </si>
  <si>
    <t xml:space="preserve"> 163000 </t>
  </si>
  <si>
    <t xml:space="preserve"> 31000 </t>
  </si>
  <si>
    <t xml:space="preserve"> 22559</t>
  </si>
  <si>
    <t xml:space="preserve"> 19.85</t>
  </si>
  <si>
    <t xml:space="preserve"> 12178</t>
  </si>
  <si>
    <t xml:space="preserve">栖霞区尧化街道仙新路以西、恒发路以北地块,东至仙新路,南至恒发路,西至规划经十八路,北至规划纬六路。   </t>
  </si>
  <si>
    <t xml:space="preserve"> NO.2020G114</t>
  </si>
  <si>
    <t xml:space="preserve"> Rb商住混合用地Rc基层社区中心</t>
  </si>
  <si>
    <t xml:space="preserve"> 3.70 </t>
  </si>
  <si>
    <t xml:space="preserve"> ≤40</t>
  </si>
  <si>
    <t xml:space="preserve"> 洛阳宝龙置业发展有限公司  </t>
  </si>
  <si>
    <t xml:space="preserve"> 宝龙地产</t>
  </si>
  <si>
    <t xml:space="preserve"> 2020-01-25 16:00</t>
  </si>
  <si>
    <t xml:space="preserve"> 商办40年住宅70年</t>
  </si>
  <si>
    <t xml:space="preserve"> 207000 </t>
  </si>
  <si>
    <t xml:space="preserve"> 11021</t>
  </si>
  <si>
    <t xml:space="preserve"> 19.65</t>
  </si>
  <si>
    <t xml:space="preserve"> 16589</t>
  </si>
  <si>
    <t xml:space="preserve">栖霞区栖霞街道工农路以西10号西侧地块   </t>
  </si>
  <si>
    <t xml:space="preserve"> NO.2020G93</t>
  </si>
  <si>
    <t xml:space="preserve"> 栖霞山</t>
  </si>
  <si>
    <t xml:space="preserve"> &gt;1且≤1.7</t>
  </si>
  <si>
    <t xml:space="preserve"> ≥24且≤35m</t>
  </si>
  <si>
    <t xml:space="preserve"> 限地价,限房价</t>
  </si>
  <si>
    <t xml:space="preserve"> 上坤置业有限公司  </t>
  </si>
  <si>
    <t xml:space="preserve"> 上坤地产</t>
  </si>
  <si>
    <t xml:space="preserve"> 2020-11-30 16:00</t>
  </si>
  <si>
    <t xml:space="preserve"> 64000 </t>
  </si>
  <si>
    <t xml:space="preserve"> 24500 </t>
  </si>
  <si>
    <t xml:space="preserve"> 17193</t>
  </si>
  <si>
    <t xml:space="preserve"> 18.52</t>
  </si>
  <si>
    <t xml:space="preserve"> 9994</t>
  </si>
  <si>
    <t xml:space="preserve">栖霞区栖霞街道工农路以西9号西侧地块   </t>
  </si>
  <si>
    <t xml:space="preserve"> NO.2020G92</t>
  </si>
  <si>
    <t xml:space="preserve"> &gt;1且≤2.5</t>
  </si>
  <si>
    <t xml:space="preserve"> ≥60且≤80m</t>
  </si>
  <si>
    <t xml:space="preserve"> 华通置业有限公司  </t>
  </si>
  <si>
    <t xml:space="preserve"> 保利发展,中交地产</t>
  </si>
  <si>
    <t xml:space="preserve"> 140000 </t>
  </si>
  <si>
    <t xml:space="preserve"> 16792</t>
  </si>
  <si>
    <t xml:space="preserve"> 19.66</t>
  </si>
  <si>
    <t xml:space="preserve"> 10467</t>
  </si>
  <si>
    <t xml:space="preserve">栖霞区/江宁区麒麟片区东麒路以西、纬七路以北地块   </t>
  </si>
  <si>
    <t xml:space="preserve"> NO.2020G83</t>
  </si>
  <si>
    <t xml:space="preserve"> 灵山</t>
  </si>
  <si>
    <t xml:space="preserve"> R2二类居住用地Rb商住混合用地</t>
  </si>
  <si>
    <t xml:space="preserve"> 6.99 </t>
  </si>
  <si>
    <t xml:space="preserve"> ≥35且≤60m</t>
  </si>
  <si>
    <t xml:space="preserve"> 南京中南新锦城房地产开发有限公司  </t>
  </si>
  <si>
    <t xml:space="preserve"> 中南建设</t>
  </si>
  <si>
    <t xml:space="preserve"> 2020-10-29 16:00</t>
  </si>
  <si>
    <t xml:space="preserve"> 住宅70年 商业40年</t>
  </si>
  <si>
    <t xml:space="preserve"> 132000 </t>
  </si>
  <si>
    <t xml:space="preserve"> 27500 </t>
  </si>
  <si>
    <t xml:space="preserve"> 19617</t>
  </si>
  <si>
    <t xml:space="preserve"> 20.00</t>
  </si>
  <si>
    <t xml:space="preserve"> 11152</t>
  </si>
  <si>
    <t xml:space="preserve">栖霞区马群街道狮子坝路以南、马高路以西地块   </t>
  </si>
  <si>
    <t xml:space="preserve"> NO.2020G84</t>
  </si>
  <si>
    <t xml:space="preserve"> &gt;1且≤2.2</t>
  </si>
  <si>
    <t xml:space="preserve"> 176000 </t>
  </si>
  <si>
    <t xml:space="preserve"> 22607</t>
  </si>
  <si>
    <t xml:space="preserve"> 19.73</t>
  </si>
  <si>
    <t xml:space="preserve"> 12118</t>
  </si>
  <si>
    <t xml:space="preserve">栖霞区栖霞街道工农路以西9号东侧地块   </t>
  </si>
  <si>
    <t xml:space="preserve"> NO.2020G82</t>
  </si>
  <si>
    <t xml:space="preserve"> 重庆同原房地产开发有限公司  </t>
  </si>
  <si>
    <t xml:space="preserve"> 迪马股份</t>
  </si>
  <si>
    <t xml:space="preserve"> 148000 </t>
  </si>
  <si>
    <t xml:space="preserve"> 16794</t>
  </si>
  <si>
    <t xml:space="preserve"> 19.35</t>
  </si>
  <si>
    <t xml:space="preserve"> 10429</t>
  </si>
  <si>
    <t xml:space="preserve">栖霞区栖霞街道工农路以西10东侧地块   </t>
  </si>
  <si>
    <t xml:space="preserve"> NO.2020G67</t>
  </si>
  <si>
    <t xml:space="preserve"> 二类居住用地</t>
  </si>
  <si>
    <t xml:space="preserve"> ≤35m</t>
  </si>
  <si>
    <t xml:space="preserve"> 广州招商房地产有限公司  </t>
  </si>
  <si>
    <t xml:space="preserve"> 招商蛇口</t>
  </si>
  <si>
    <t xml:space="preserve"> 2020-09-23 16:00</t>
  </si>
  <si>
    <t xml:space="preserve"> 76000 </t>
  </si>
  <si>
    <t xml:space="preserve"> 17192</t>
  </si>
  <si>
    <t xml:space="preserve"> 18.75</t>
  </si>
  <si>
    <t xml:space="preserve"> 10022</t>
  </si>
  <si>
    <t xml:space="preserve">栖霞区工农路以东、官窑山路以北地块   </t>
  </si>
  <si>
    <t xml:space="preserve"> NO.2020G66</t>
  </si>
  <si>
    <t xml:space="preserve"> 常州路劲房地产开发有限公司  </t>
  </si>
  <si>
    <t xml:space="preserve"> 路劲基建</t>
  </si>
  <si>
    <t xml:space="preserve"> 81000 </t>
  </si>
  <si>
    <t xml:space="preserve"> 17543</t>
  </si>
  <si>
    <t xml:space="preserve"> 19.12</t>
  </si>
  <si>
    <t xml:space="preserve"> 9772</t>
  </si>
  <si>
    <t xml:space="preserve">栖霞区燕子矶街道和燕路418号B地块东侧   </t>
  </si>
  <si>
    <t xml:space="preserve"> NO.2020G54</t>
  </si>
  <si>
    <t xml:space="preserve"> &gt;1且≤2.8</t>
  </si>
  <si>
    <t xml:space="preserve"> ≥60且≤100m</t>
  </si>
  <si>
    <t xml:space="preserve"> 限地价,限房价,摇号/摇珠/抽签,含人才住房用地</t>
  </si>
  <si>
    <t xml:space="preserve"> 南京万融置业有限公司  </t>
  </si>
  <si>
    <t xml:space="preserve"> 万科</t>
  </si>
  <si>
    <t xml:space="preserve"> 2020-09-16 16:00</t>
  </si>
  <si>
    <t xml:space="preserve"> 32000 </t>
  </si>
  <si>
    <t xml:space="preserve"> 22070</t>
  </si>
  <si>
    <t xml:space="preserve"> 19.87</t>
  </si>
  <si>
    <t xml:space="preserve"> 13589</t>
  </si>
  <si>
    <t xml:space="preserve"> NO.2020G38</t>
  </si>
  <si>
    <t xml:space="preserve"> ≥1.01且≤2.3</t>
  </si>
  <si>
    <t xml:space="preserve"> 商住用地</t>
  </si>
  <si>
    <t xml:space="preserve"> 20.00 </t>
  </si>
  <si>
    <t xml:space="preserve"> ≤30</t>
  </si>
  <si>
    <t xml:space="preserve"> ≥60且≤80</t>
  </si>
  <si>
    <t xml:space="preserve"> 限地价,限房价,竞配建,含人才住房用地</t>
  </si>
  <si>
    <t xml:space="preserve"> 南京融嘉熠贸易有限公司  </t>
  </si>
  <si>
    <t xml:space="preserve"> 融信中国</t>
  </si>
  <si>
    <t xml:space="preserve"> 2020-07-14 16:00</t>
  </si>
  <si>
    <t xml:space="preserve"> 住宅70年商业40年</t>
  </si>
  <si>
    <t xml:space="preserve"> 78000 </t>
  </si>
  <si>
    <t xml:space="preserve"> 25800 </t>
  </si>
  <si>
    <t xml:space="preserve"> 17438</t>
  </si>
  <si>
    <t xml:space="preserve"> 11268</t>
  </si>
  <si>
    <t xml:space="preserve">栖霞区尧化街道尧辰路以东、栖霞大道以南地块   </t>
  </si>
  <si>
    <t xml:space="preserve"> NO.2020G39</t>
  </si>
  <si>
    <t xml:space="preserve"> ≥1.01且≤2.6</t>
  </si>
  <si>
    <t xml:space="preserve"> ≤20</t>
  </si>
  <si>
    <t xml:space="preserve"> 南京弘阳瑞尚房地产开发有限公司  </t>
  </si>
  <si>
    <t xml:space="preserve"> 弘阳地产</t>
  </si>
  <si>
    <t xml:space="preserve"> 66000 </t>
  </si>
  <si>
    <t xml:space="preserve"> 17304</t>
  </si>
  <si>
    <t xml:space="preserve"> 11380</t>
  </si>
  <si>
    <t xml:space="preserve">栖霞区仙林街道、江宁区麒麟街道东麒路、麒麟路西南象限地块一   </t>
  </si>
  <si>
    <t xml:space="preserve"> NO.2020G31</t>
  </si>
  <si>
    <t xml:space="preserve"> &gt;1且≤2</t>
  </si>
  <si>
    <t xml:space="preserve"> ≥35且≤60</t>
  </si>
  <si>
    <t xml:space="preserve"> 南京正高置业发展有限公司  </t>
  </si>
  <si>
    <t xml:space="preserve"> 正荣地产</t>
  </si>
  <si>
    <t xml:space="preserve"> 2020-07-09 16:00</t>
  </si>
  <si>
    <t xml:space="preserve"> 138000 </t>
  </si>
  <si>
    <t xml:space="preserve"> 19887</t>
  </si>
  <si>
    <t xml:space="preserve"> 10928</t>
  </si>
  <si>
    <t xml:space="preserve">栖霞区尧化街道兴智科技城地块一   </t>
  </si>
  <si>
    <t xml:space="preserve"> NO.2020G24</t>
  </si>
  <si>
    <t xml:space="preserve"> R2二类居住用地Rb商住混合用地Bb商办混合用地Rc基层社区中心</t>
  </si>
  <si>
    <t xml:space="preserve"> 10.36 </t>
  </si>
  <si>
    <t xml:space="preserve"> ≤45</t>
  </si>
  <si>
    <t xml:space="preserve"> ≤150</t>
  </si>
  <si>
    <t xml:space="preserve"> 限地价,含保障房用地,摇号/摇珠/抽签,竞自持</t>
  </si>
  <si>
    <t xml:space="preserve"> 限地价,含租赁住房用地</t>
  </si>
  <si>
    <t xml:space="preserve"> 南京万智源置业有限公司  </t>
  </si>
  <si>
    <t xml:space="preserve"> 苏宁置业,世茂集团</t>
  </si>
  <si>
    <t xml:space="preserve"> 2020-07-02 16:00</t>
  </si>
  <si>
    <t xml:space="preserve"> 79000 </t>
  </si>
  <si>
    <t xml:space="preserve"> 1334</t>
  </si>
  <si>
    <t xml:space="preserve"> -82.71</t>
  </si>
  <si>
    <t xml:space="preserve">栖霞区仙林街道鲤鱼山南侧住宅地块一   </t>
  </si>
  <si>
    <t xml:space="preserve"> NO.2020G16</t>
  </si>
  <si>
    <t xml:space="preserve"> &gt;1且≤1.85</t>
  </si>
  <si>
    <t xml:space="preserve"> 限地价,竞配建,含人才住房用地</t>
  </si>
  <si>
    <t xml:space="preserve"> 南京栖霞建设股份有限公司  </t>
  </si>
  <si>
    <t xml:space="preserve"> 大发地产,栖霞建设</t>
  </si>
  <si>
    <t xml:space="preserve"> 2020-05-19 16:00</t>
  </si>
  <si>
    <t xml:space="preserve">栖霞区尧化街道尧和路以北、邻安路以东地块   </t>
  </si>
  <si>
    <t xml:space="preserve"> NO.2020G15</t>
  </si>
  <si>
    <t xml:space="preserve"> 限地价,竞自持,含租赁住房用地</t>
  </si>
  <si>
    <t xml:space="preserve"> 南京高科置业有限公司  </t>
  </si>
  <si>
    <t xml:space="preserve"> 南京高科</t>
  </si>
  <si>
    <t xml:space="preserve">栖霞区经济技术开发区兴智科技城地块三   </t>
  </si>
  <si>
    <t xml:space="preserve"> NO.2020G04</t>
  </si>
  <si>
    <t xml:space="preserve"> 公共租赁房</t>
  </si>
  <si>
    <t xml:space="preserve"> 8448.00</t>
  </si>
  <si>
    <t xml:space="preserve"> 北京亚通房地产开发有限责任公司  </t>
  </si>
  <si>
    <t xml:space="preserve"> 正荣地产,石榴集团</t>
  </si>
  <si>
    <t xml:space="preserve"> 2020-04-02 16:00</t>
  </si>
  <si>
    <t xml:space="preserve"> 13551</t>
  </si>
  <si>
    <t xml:space="preserve"> 18535</t>
  </si>
  <si>
    <t xml:space="preserve"> 314500 </t>
  </si>
  <si>
    <t xml:space="preserve"> 18614</t>
  </si>
  <si>
    <t xml:space="preserve"> 44.60</t>
  </si>
  <si>
    <t xml:space="preserve">栖霞区燕子矶街道滨江商务区一期地块   </t>
  </si>
  <si>
    <t xml:space="preserve"> NO.2020G01</t>
  </si>
  <si>
    <t xml:space="preserve"> R2二类居住用地Bb商办混合用地</t>
  </si>
  <si>
    <t xml:space="preserve"> ≤50%</t>
  </si>
  <si>
    <t xml:space="preserve"> ≤300</t>
  </si>
  <si>
    <t xml:space="preserve"> 含租赁住房用地</t>
  </si>
  <si>
    <t xml:space="preserve"> 7300.00</t>
  </si>
  <si>
    <t xml:space="preserve"> 南京宝能城市发展有限公司  </t>
  </si>
  <si>
    <t xml:space="preserve"> 宝能地产</t>
  </si>
  <si>
    <t xml:space="preserve"> 2020-02-18 16:00</t>
  </si>
  <si>
    <t xml:space="preserve"> 8067</t>
  </si>
  <si>
    <t xml:space="preserve"> 485000 </t>
  </si>
  <si>
    <t xml:space="preserve"> 11511</t>
  </si>
  <si>
    <t xml:space="preserve"> 45.21</t>
  </si>
  <si>
    <t xml:space="preserve">栖霞区西岗街道毕升路东侧地块一   </t>
  </si>
  <si>
    <t xml:space="preserve"> NO.2019G67</t>
  </si>
  <si>
    <t xml:space="preserve"> ≥1.01且≤2.2</t>
  </si>
  <si>
    <t xml:space="preserve"> 限地价,含人才住房用地</t>
  </si>
  <si>
    <t xml:space="preserve"> 招商局地产(南京)有限公司  </t>
  </si>
  <si>
    <t xml:space="preserve"> 2019-10-09 16:00</t>
  </si>
  <si>
    <t xml:space="preserve"> 435000 </t>
  </si>
  <si>
    <t xml:space="preserve"> 24752</t>
  </si>
  <si>
    <t xml:space="preserve"> 44.04</t>
  </si>
  <si>
    <t xml:space="preserve">栖霞区栖霞街道工农路以西11号地块   </t>
  </si>
  <si>
    <t xml:space="preserve"> NO.2019G68</t>
  </si>
  <si>
    <t xml:space="preserve"> ≥1.01且1.7</t>
  </si>
  <si>
    <t xml:space="preserve"> 南京彣茂置业有限公司  </t>
  </si>
  <si>
    <t xml:space="preserve"> 蓝光发展</t>
  </si>
  <si>
    <t xml:space="preserve"> 89000 </t>
  </si>
  <si>
    <t xml:space="preserve"> 17214</t>
  </si>
  <si>
    <t xml:space="preserve"> 36.92</t>
  </si>
  <si>
    <t xml:space="preserve">栖霞区栖霞街道工农路以西14号地块   </t>
  </si>
  <si>
    <t xml:space="preserve"> NO.2019G69</t>
  </si>
  <si>
    <t xml:space="preserve"> 南京华侨城实业发展有限公司  </t>
  </si>
  <si>
    <t xml:space="preserve"> 华侨城</t>
  </si>
  <si>
    <t xml:space="preserve">栖霞区尧化街道尧化老街地块   </t>
  </si>
  <si>
    <t xml:space="preserve"> NO.2019G51</t>
  </si>
  <si>
    <t xml:space="preserve"> R2二类居住用地Rc基层社区中心</t>
  </si>
  <si>
    <t xml:space="preserve"> 限地价,竞自持,竞配建,含人才住房用地</t>
  </si>
  <si>
    <t xml:space="preserve"> 恒大地产集团南京置业有限公司  </t>
  </si>
  <si>
    <t xml:space="preserve"> 中国恒大</t>
  </si>
  <si>
    <t xml:space="preserve"> 2019-08-28 16:00</t>
  </si>
  <si>
    <t xml:space="preserve"> 212000 </t>
  </si>
  <si>
    <t xml:space="preserve"> 19663</t>
  </si>
  <si>
    <t xml:space="preserve"> 43.24</t>
  </si>
  <si>
    <t xml:space="preserve">栖霞区迈皋桥街道长营村145号地块   </t>
  </si>
  <si>
    <t xml:space="preserve"> NO.2019G41</t>
  </si>
  <si>
    <t xml:space="preserve"> ≥1.01且≤1.55</t>
  </si>
  <si>
    <t xml:space="preserve"> ≤35%</t>
  </si>
  <si>
    <t xml:space="preserve"> 限地价,竞自持,竞配建</t>
  </si>
  <si>
    <t xml:space="preserve"> 2019-08-06 16:00</t>
  </si>
  <si>
    <t xml:space="preserve"> 65000 </t>
  </si>
  <si>
    <t xml:space="preserve"> 20335</t>
  </si>
  <si>
    <t xml:space="preserve"> 44.44</t>
  </si>
  <si>
    <t xml:space="preserve">栖霞区龙潭新城二(二)地块   </t>
  </si>
  <si>
    <t xml:space="preserve"> NO.2019G42</t>
  </si>
  <si>
    <t xml:space="preserve"> 龙潭</t>
  </si>
  <si>
    <t xml:space="preserve"> 廊坊京御房地产开发有限公司  </t>
  </si>
  <si>
    <t xml:space="preserve"> 华夏幸福</t>
  </si>
  <si>
    <t xml:space="preserve"> 57000 </t>
  </si>
  <si>
    <t xml:space="preserve"> 9204</t>
  </si>
  <si>
    <t xml:space="preserve"> 42.50</t>
  </si>
  <si>
    <t xml:space="preserve">栖霞区经济技术开发区兴智科技城地块二   </t>
  </si>
  <si>
    <t xml:space="preserve"> NO.2019G36</t>
  </si>
  <si>
    <t xml:space="preserve"> &gt;1.01且≤2.5</t>
  </si>
  <si>
    <t xml:space="preserve"> 限地价,竞自持,竞配建,含租赁住房用地</t>
  </si>
  <si>
    <t xml:space="preserve"> 公共租赁房,</t>
  </si>
  <si>
    <t xml:space="preserve"> 11424.00</t>
  </si>
  <si>
    <t xml:space="preserve"> 南京新希望置业有限公司  </t>
  </si>
  <si>
    <t xml:space="preserve"> 新希望地产,华宇集团</t>
  </si>
  <si>
    <t xml:space="preserve"> 13547</t>
  </si>
  <si>
    <t xml:space="preserve"> 16818</t>
  </si>
  <si>
    <t xml:space="preserve"> 456000 </t>
  </si>
  <si>
    <t xml:space="preserve"> 19960</t>
  </si>
  <si>
    <t xml:space="preserve"> 55.10</t>
  </si>
  <si>
    <t xml:space="preserve">栖霞区燕子矶街道太新路和经五路夹角地块   </t>
  </si>
  <si>
    <t xml:space="preserve"> NO.2019G37</t>
  </si>
  <si>
    <t xml:space="preserve"> Rb商住混合用地,R2二类居住用地</t>
  </si>
  <si>
    <t xml:space="preserve"> 6.53 </t>
  </si>
  <si>
    <t xml:space="preserve"> ≥50且≤100</t>
  </si>
  <si>
    <t xml:space="preserve"> 限地价,摇号/摇珠/抽签,竞自持,含人才住房用地</t>
  </si>
  <si>
    <t xml:space="preserve"> 10650.00</t>
  </si>
  <si>
    <t xml:space="preserve"> 15569</t>
  </si>
  <si>
    <t xml:space="preserve"> 18435</t>
  </si>
  <si>
    <t xml:space="preserve"> 447000 </t>
  </si>
  <si>
    <t xml:space="preserve"> 20988</t>
  </si>
  <si>
    <t xml:space="preserve"> 41.90</t>
  </si>
  <si>
    <t xml:space="preserve">栖霞区龙潭新城二(一)地块   </t>
  </si>
  <si>
    <t xml:space="preserve"> NO.2019G24</t>
  </si>
  <si>
    <t xml:space="preserve"> /</t>
  </si>
  <si>
    <t xml:space="preserve"> 限地价,竞自持,含人才住房用地</t>
  </si>
  <si>
    <t xml:space="preserve"> 6350.00</t>
  </si>
  <si>
    <t xml:space="preserve"> 南京裕辰房地产开发有限公司  </t>
  </si>
  <si>
    <t xml:space="preserve"> 6419</t>
  </si>
  <si>
    <t xml:space="preserve"> 8694</t>
  </si>
  <si>
    <t xml:space="preserve"> 113000 </t>
  </si>
  <si>
    <t xml:space="preserve"> 8731</t>
  </si>
  <si>
    <t xml:space="preserve"> 43.04</t>
  </si>
  <si>
    <t xml:space="preserve">栖霞区龙潭新城一(一)地块   </t>
  </si>
  <si>
    <t xml:space="preserve"> NO.2019G10</t>
  </si>
  <si>
    <t xml:space="preserve"> R2二类居住用地 Rc基层社区中心 Rax幼托用地</t>
  </si>
  <si>
    <t xml:space="preserve"> 限地价,摇号/摇珠/抽签,竞自持</t>
  </si>
  <si>
    <t xml:space="preserve"> 限地价,竞自持,含保障房用地</t>
  </si>
  <si>
    <t xml:space="preserve"> 6104.00</t>
  </si>
  <si>
    <t xml:space="preserve"> 南京荣盛置业有限公司  </t>
  </si>
  <si>
    <t xml:space="preserve"> 荣盛发展</t>
  </si>
  <si>
    <t xml:space="preserve"> 5769</t>
  </si>
  <si>
    <t xml:space="preserve"> 8186</t>
  </si>
  <si>
    <t xml:space="preserve"> 住宅70年,教育50年,社区中心40年</t>
  </si>
  <si>
    <t xml:space="preserve"> 10500 </t>
  </si>
  <si>
    <t xml:space="preserve"> 781</t>
  </si>
  <si>
    <t xml:space="preserve"> -85.81</t>
  </si>
  <si>
    <t xml:space="preserve">栖霞区龙潭新城一(二)地块   </t>
  </si>
  <si>
    <t xml:space="preserve"> NO.2019G09</t>
  </si>
  <si>
    <t xml:space="preserve"> 1.01≤r≤2.0</t>
  </si>
  <si>
    <t xml:space="preserve"> 8495.00</t>
  </si>
  <si>
    <t xml:space="preserve"> 南京正荣江滨投资发展有限公司  </t>
  </si>
  <si>
    <t xml:space="preserve"> 6197</t>
  </si>
  <si>
    <t xml:space="preserve"> 8924</t>
  </si>
  <si>
    <t xml:space="preserve"> 144000 </t>
  </si>
  <si>
    <t xml:space="preserve"> 8478</t>
  </si>
  <si>
    <t xml:space="preserve"> 44.00</t>
  </si>
  <si>
    <t xml:space="preserve">栖霞区迈皋桥街道合班村288号地块   </t>
  </si>
  <si>
    <t xml:space="preserve"> NO.2019G01</t>
  </si>
  <si>
    <t xml:space="preserve"> ≥50且≤80</t>
  </si>
  <si>
    <t xml:space="preserve"> 限地价,竞自持,含租赁住房用地,含人才住房用地</t>
  </si>
  <si>
    <t xml:space="preserve"> 限地价,含租赁住房用地,含人才住房用地</t>
  </si>
  <si>
    <t xml:space="preserve"> 11756.00</t>
  </si>
  <si>
    <t xml:space="preserve"> 成都新希望置业有限公司  </t>
  </si>
  <si>
    <t xml:space="preserve"> 新希望地产</t>
  </si>
  <si>
    <t xml:space="preserve"> 18491</t>
  </si>
  <si>
    <t xml:space="preserve"> 23819</t>
  </si>
  <si>
    <t xml:space="preserve">栖霞区仙林街道大浦塘南侧地块   </t>
  </si>
  <si>
    <t xml:space="preserve"> NO.2018G23</t>
  </si>
  <si>
    <t xml:space="preserve"> 综合容积率:1.1</t>
  </si>
  <si>
    <t xml:space="preserve"> B14旅馆用地R2二类居住用地</t>
  </si>
  <si>
    <t xml:space="preserve"> 0</t>
  </si>
  <si>
    <t xml:space="preserve"> 限地价,竞配建</t>
  </si>
  <si>
    <t xml:space="preserve"> 南京复地东郡置业有限公司  </t>
  </si>
  <si>
    <t xml:space="preserve"> 复地集团</t>
  </si>
  <si>
    <t xml:space="preserve">栖霞区龙潭街道龙潭小镇一(一)地块   </t>
  </si>
  <si>
    <t xml:space="preserve"> NO.2018G22</t>
  </si>
  <si>
    <t xml:space="preserve"> 综合容积率:2.5</t>
  </si>
  <si>
    <t xml:space="preserve"> Rb商住混合用地R2二类居住用地</t>
  </si>
  <si>
    <t xml:space="preserve"> 瑞奇国际有限公司  </t>
  </si>
  <si>
    <t xml:space="preserve">栖霞区燕子矶街道和燕路560C地块   </t>
  </si>
  <si>
    <t xml:space="preserve"> NO.2018G01</t>
  </si>
  <si>
    <t xml:space="preserve"> ≥1.01且≤2.4</t>
  </si>
  <si>
    <t xml:space="preserve"> 二类居住用地,租赁住房用地</t>
  </si>
  <si>
    <t xml:space="preserve"> 南京滨诚整治开发有限公司  </t>
  </si>
  <si>
    <t xml:space="preserve">栖霞区燕子矶街道太新路46号地块   </t>
  </si>
  <si>
    <t xml:space="preserve"> NO.2017G51</t>
  </si>
  <si>
    <t xml:space="preserve"> 综合容积率:2.84</t>
  </si>
  <si>
    <t xml:space="preserve"> R2二类居住用地Rb商住混合用地A6社会福利用地</t>
  </si>
  <si>
    <t xml:space="preserve"> 限地价,竞配建,现房销售</t>
  </si>
  <si>
    <t xml:space="preserve"> 南京海润房地产开发有限公司  </t>
  </si>
  <si>
    <t xml:space="preserve"> 住宅70年商业40年福利50年</t>
  </si>
  <si>
    <t xml:space="preserve">栖霞区迈皋桥街道合班村257号地块   </t>
  </si>
  <si>
    <t xml:space="preserve"> NO.2017G53</t>
  </si>
  <si>
    <t xml:space="preserve"> ≥1.01且≤2.5</t>
  </si>
  <si>
    <t xml:space="preserve"> 限地价,竞配建,含保障房用地,现房销售</t>
  </si>
  <si>
    <t xml:space="preserve"> 11000.00</t>
  </si>
  <si>
    <t xml:space="preserve"> 栖霞建设</t>
  </si>
  <si>
    <t xml:space="preserve"> 22798</t>
  </si>
  <si>
    <t xml:space="preserve">栖霞区燕子矶街道和燕路560号D地块   </t>
  </si>
  <si>
    <t xml:space="preserve"> NO.2017G34</t>
  </si>
  <si>
    <t xml:space="preserve"> 1.01≤容积率≤2.30</t>
  </si>
  <si>
    <t xml:space="preserve"> 佳兆业集团(深圳)有限公司  </t>
  </si>
  <si>
    <t xml:space="preserve"> 佳兆业集团</t>
  </si>
  <si>
    <t xml:space="preserve"> 24055</t>
  </si>
  <si>
    <t xml:space="preserve">栖霞区燕子矶街道薛家村地块   </t>
  </si>
  <si>
    <t xml:space="preserve"> NO.2017G33</t>
  </si>
  <si>
    <t xml:space="preserve"> 1.01≤容积率≤2.20</t>
  </si>
  <si>
    <t xml:space="preserve"> ≤22%</t>
  </si>
  <si>
    <t xml:space="preserve"> 6400.00</t>
  </si>
  <si>
    <t xml:space="preserve"> 安徽西湖新城置业有限公司  </t>
  </si>
  <si>
    <t xml:space="preserve"> 金科股份</t>
  </si>
  <si>
    <t xml:space="preserve"> 23547</t>
  </si>
  <si>
    <t xml:space="preserve">栖霞区经五路纬一路交叉口西北角地块  </t>
  </si>
  <si>
    <t xml:space="preserve"> NO.2017G32</t>
  </si>
  <si>
    <t xml:space="preserve"> 1&lt;容积率≤4.58</t>
  </si>
  <si>
    <t xml:space="preserve"> 商住其他普通商品住房用地</t>
  </si>
  <si>
    <t xml:space="preserve"> 2600.00</t>
  </si>
  <si>
    <t xml:space="preserve"> 华润置地(苏州)发展有限公司  </t>
  </si>
  <si>
    <t xml:space="preserve"> 华润置地</t>
  </si>
  <si>
    <t xml:space="preserve"> 9191</t>
  </si>
  <si>
    <t xml:space="preserve">栖霞区经五路二期东侧地块   </t>
  </si>
  <si>
    <t xml:space="preserve"> NO.2017G29</t>
  </si>
  <si>
    <t xml:space="preserve"> 1&lt;容积率≤4.26</t>
  </si>
  <si>
    <t xml:space="preserve"> 25200.00</t>
  </si>
  <si>
    <t xml:space="preserve"> 威海华发房地产开发有限公司  </t>
  </si>
  <si>
    <t xml:space="preserve"> 12554</t>
  </si>
  <si>
    <t xml:space="preserve">栖霞区燕子矶街道和燕路560E地块   </t>
  </si>
  <si>
    <t xml:space="preserve"> NO.2017G01</t>
  </si>
  <si>
    <t xml:space="preserve"> 1.01≤容积率≤1.60</t>
  </si>
  <si>
    <t xml:space="preserve"> 限地价,现房销售</t>
  </si>
  <si>
    <t xml:space="preserve"> 南京万晖置业有限公司  </t>
  </si>
  <si>
    <t>住宅</t>
    <phoneticPr fontId="26" type="noConversion"/>
  </si>
  <si>
    <t>规则</t>
    <phoneticPr fontId="3" type="noConversion"/>
  </si>
  <si>
    <t>较规则</t>
    <phoneticPr fontId="3" type="noConversion"/>
  </si>
  <si>
    <t>较不规则</t>
    <phoneticPr fontId="3" type="noConversion"/>
  </si>
  <si>
    <t>不规则</t>
    <phoneticPr fontId="3" type="noConversion"/>
  </si>
  <si>
    <t>楼面地价</t>
  </si>
  <si>
    <t>比较法-住宅、综合</t>
  </si>
  <si>
    <t>剩余法-待开发</t>
  </si>
  <si>
    <t>地块</t>
    <phoneticPr fontId="225" type="noConversion"/>
  </si>
  <si>
    <t>分摊土地面积</t>
    <phoneticPr fontId="225" type="noConversion"/>
  </si>
  <si>
    <t>建筑面积依据</t>
    <phoneticPr fontId="225" type="noConversion"/>
  </si>
  <si>
    <t>楼号</t>
    <phoneticPr fontId="225" type="noConversion"/>
  </si>
  <si>
    <t>经营性</t>
    <phoneticPr fontId="225" type="noConversion"/>
  </si>
  <si>
    <t>小计</t>
    <phoneticPr fontId="225" type="noConversion"/>
  </si>
  <si>
    <t>非经营性</t>
    <phoneticPr fontId="225" type="noConversion"/>
  </si>
  <si>
    <t>合计</t>
    <phoneticPr fontId="225" type="noConversion"/>
  </si>
  <si>
    <t>车位个数</t>
    <phoneticPr fontId="225" type="noConversion"/>
  </si>
  <si>
    <t>地上</t>
    <phoneticPr fontId="225" type="noConversion"/>
  </si>
  <si>
    <t>地下</t>
    <phoneticPr fontId="225" type="noConversion"/>
  </si>
  <si>
    <t>可售住宅</t>
    <phoneticPr fontId="225" type="noConversion"/>
  </si>
  <si>
    <t>自持住宅</t>
    <phoneticPr fontId="225" type="noConversion"/>
  </si>
  <si>
    <t>公寓</t>
    <phoneticPr fontId="225" type="noConversion"/>
  </si>
  <si>
    <t>自持商业</t>
    <phoneticPr fontId="225" type="noConversion"/>
  </si>
  <si>
    <t>酒店</t>
    <phoneticPr fontId="225" type="noConversion"/>
  </si>
  <si>
    <t>办公</t>
    <phoneticPr fontId="225" type="noConversion"/>
  </si>
  <si>
    <t>可售商业</t>
    <phoneticPr fontId="225" type="noConversion"/>
  </si>
  <si>
    <t>车库</t>
    <phoneticPr fontId="225" type="noConversion"/>
  </si>
  <si>
    <t>设备</t>
    <phoneticPr fontId="225" type="noConversion"/>
  </si>
  <si>
    <t>A分区</t>
    <phoneticPr fontId="225" type="noConversion"/>
  </si>
  <si>
    <t>苏（2020）宁栖不动产权第0047731号</t>
    <phoneticPr fontId="225" type="noConversion"/>
  </si>
  <si>
    <t>《南京新港NO.2020G24地块A/B/C/D/F分区总平面图》</t>
    <phoneticPr fontId="225" type="noConversion"/>
  </si>
  <si>
    <t>——</t>
    <phoneticPr fontId="225" type="noConversion"/>
  </si>
  <si>
    <t>开发完成后总值</t>
    <phoneticPr fontId="225" type="noConversion"/>
  </si>
  <si>
    <t>开发完成后</t>
    <phoneticPr fontId="225" type="noConversion"/>
  </si>
  <si>
    <t>地上</t>
    <phoneticPr fontId="225" type="noConversion"/>
  </si>
  <si>
    <t>地下</t>
    <phoneticPr fontId="225" type="noConversion"/>
  </si>
  <si>
    <t>评估总值</t>
    <phoneticPr fontId="225" type="noConversion"/>
  </si>
  <si>
    <t>拆分价值</t>
    <phoneticPr fontId="225" type="noConversion"/>
  </si>
  <si>
    <t>不动产权证书编号</t>
  </si>
  <si>
    <t>不动产单元号</t>
  </si>
  <si>
    <t>规划容积率</t>
  </si>
  <si>
    <t>设定容积率</t>
  </si>
  <si>
    <r>
      <t>土地面积</t>
    </r>
    <r>
      <rPr>
        <sz val="9"/>
        <color theme="1"/>
        <rFont val="Arial"/>
        <family val="2"/>
      </rPr>
      <t>/</t>
    </r>
    <r>
      <rPr>
        <sz val="9"/>
        <color theme="1"/>
        <rFont val="宋体"/>
        <family val="3"/>
        <charset val="134"/>
      </rPr>
      <t>㎡</t>
    </r>
  </si>
  <si>
    <r>
      <t>总地价</t>
    </r>
    <r>
      <rPr>
        <sz val="9"/>
        <color theme="1"/>
        <rFont val="Arial"/>
        <family val="2"/>
      </rPr>
      <t>/</t>
    </r>
    <r>
      <rPr>
        <sz val="9"/>
        <color theme="1"/>
        <rFont val="仿宋_GB2312"/>
        <family val="3"/>
        <charset val="134"/>
      </rPr>
      <t>万元</t>
    </r>
  </si>
  <si>
    <r>
      <t>苏（</t>
    </r>
    <r>
      <rPr>
        <sz val="9"/>
        <color theme="1"/>
        <rFont val="Arial"/>
        <family val="2"/>
      </rPr>
      <t>2020</t>
    </r>
    <r>
      <rPr>
        <sz val="9"/>
        <color theme="1"/>
        <rFont val="仿宋_GB2312"/>
        <family val="3"/>
        <charset val="134"/>
      </rPr>
      <t>）宁栖不动产权第</t>
    </r>
    <r>
      <rPr>
        <sz val="9"/>
        <color theme="1"/>
        <rFont val="Arial"/>
        <family val="2"/>
      </rPr>
      <t>0047731</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</si>
  <si>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t>
    </r>
    <r>
      <rPr>
        <sz val="9"/>
        <color theme="1"/>
        <rFont val="Arial"/>
        <family val="2"/>
      </rPr>
      <t>A</t>
    </r>
    <r>
      <rPr>
        <sz val="9"/>
        <color theme="1"/>
        <rFont val="仿宋_GB2312"/>
        <family val="3"/>
        <charset val="134"/>
      </rPr>
      <t>分区）</t>
    </r>
  </si>
  <si>
    <t>320113001006GB00065W00000000</t>
  </si>
  <si>
    <r>
      <t>A</t>
    </r>
    <r>
      <rPr>
        <sz val="9"/>
        <color theme="1"/>
        <rFont val="仿宋_GB2312"/>
        <family val="3"/>
        <charset val="134"/>
      </rPr>
      <t>分区</t>
    </r>
    <r>
      <rPr>
        <sz val="9"/>
        <color theme="1"/>
        <rFont val="Arial"/>
        <family val="2"/>
      </rPr>
      <t>1.01</t>
    </r>
    <r>
      <rPr>
        <sz val="9"/>
        <color theme="1"/>
        <rFont val="仿宋_GB2312"/>
        <family val="3"/>
        <charset val="134"/>
      </rPr>
      <t>≤</t>
    </r>
    <r>
      <rPr>
        <sz val="9"/>
        <color theme="1"/>
        <rFont val="Arial"/>
        <family val="2"/>
      </rPr>
      <t>R</t>
    </r>
    <r>
      <rPr>
        <sz val="9"/>
        <color theme="1"/>
        <rFont val="仿宋_GB2312"/>
        <family val="3"/>
        <charset val="134"/>
      </rPr>
      <t>≤</t>
    </r>
    <r>
      <rPr>
        <sz val="9"/>
        <color theme="1"/>
        <rFont val="Arial"/>
        <family val="2"/>
      </rPr>
      <t>2.5</t>
    </r>
  </si>
  <si>
    <r>
      <t>苏（</t>
    </r>
    <r>
      <rPr>
        <sz val="9"/>
        <color theme="1"/>
        <rFont val="Arial"/>
        <family val="2"/>
      </rPr>
      <t>2020</t>
    </r>
    <r>
      <rPr>
        <sz val="9"/>
        <color theme="1"/>
        <rFont val="仿宋_GB2312"/>
        <family val="3"/>
        <charset val="134"/>
      </rPr>
      <t>）宁栖不动产权第</t>
    </r>
    <r>
      <rPr>
        <sz val="9"/>
        <color theme="1"/>
        <rFont val="Arial"/>
        <family val="2"/>
      </rPr>
      <t>0047749</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</si>
  <si>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t>
    </r>
    <r>
      <rPr>
        <sz val="9"/>
        <color theme="1"/>
        <rFont val="Arial"/>
        <family val="2"/>
      </rPr>
      <t>B</t>
    </r>
    <r>
      <rPr>
        <sz val="9"/>
        <color theme="1"/>
        <rFont val="仿宋_GB2312"/>
        <family val="3"/>
        <charset val="134"/>
      </rPr>
      <t>分区）</t>
    </r>
  </si>
  <si>
    <t>320113001006GB00064W00000000</t>
  </si>
  <si>
    <r>
      <t>B</t>
    </r>
    <r>
      <rPr>
        <sz val="9"/>
        <color theme="1"/>
        <rFont val="仿宋_GB2312"/>
        <family val="3"/>
        <charset val="134"/>
      </rPr>
      <t>分区</t>
    </r>
    <r>
      <rPr>
        <sz val="9"/>
        <color theme="1"/>
        <rFont val="Arial"/>
        <family val="2"/>
      </rPr>
      <t>R</t>
    </r>
    <r>
      <rPr>
        <sz val="9"/>
        <color theme="1"/>
        <rFont val="仿宋_GB2312"/>
        <family val="3"/>
        <charset val="134"/>
      </rPr>
      <t>≤</t>
    </r>
    <r>
      <rPr>
        <sz val="9"/>
        <color theme="1"/>
        <rFont val="Arial"/>
        <family val="2"/>
      </rPr>
      <t>4</t>
    </r>
  </si>
  <si>
    <r>
      <t>苏（</t>
    </r>
    <r>
      <rPr>
        <sz val="9"/>
        <color theme="1"/>
        <rFont val="Arial"/>
        <family val="2"/>
      </rPr>
      <t>2020</t>
    </r>
    <r>
      <rPr>
        <sz val="9"/>
        <color theme="1"/>
        <rFont val="仿宋_GB2312"/>
        <family val="3"/>
        <charset val="134"/>
      </rPr>
      <t>）宁栖不动产权第</t>
    </r>
    <r>
      <rPr>
        <sz val="9"/>
        <color theme="1"/>
        <rFont val="Arial"/>
        <family val="2"/>
      </rPr>
      <t>0047736</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</si>
  <si>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地块一（地下）</t>
    </r>
  </si>
  <si>
    <t>320113001601GX00002W00000000</t>
  </si>
  <si>
    <t>合计</t>
    <phoneticPr fontId="225" type="noConversion"/>
  </si>
  <si>
    <t>吴薇</t>
  </si>
  <si>
    <t>崔锴</t>
  </si>
  <si>
    <t>之前报值</t>
    <phoneticPr fontId="225" type="noConversion"/>
  </si>
  <si>
    <t>适宜</t>
    <phoneticPr fontId="3" type="noConversion"/>
  </si>
  <si>
    <t>较适宜</t>
    <phoneticPr fontId="3" type="noConversion"/>
  </si>
  <si>
    <t>较不适宜</t>
    <phoneticPr fontId="3" type="noConversion"/>
  </si>
  <si>
    <t>六通</t>
  </si>
  <si>
    <t>五通</t>
  </si>
  <si>
    <t>四通</t>
  </si>
  <si>
    <t>三通</t>
  </si>
  <si>
    <t>好</t>
  </si>
  <si>
    <t>较差</t>
  </si>
  <si>
    <t>较不规则</t>
  </si>
  <si>
    <t>规则</t>
  </si>
  <si>
    <t>较适宜</t>
  </si>
  <si>
    <t>精装修</t>
    <phoneticPr fontId="3" type="noConversion"/>
  </si>
  <si>
    <t>普通装修</t>
    <phoneticPr fontId="3" type="noConversion"/>
  </si>
  <si>
    <t>简单装修</t>
    <phoneticPr fontId="3" type="noConversion"/>
  </si>
  <si>
    <t>六通</t>
    <phoneticPr fontId="3" type="noConversion"/>
  </si>
  <si>
    <t>五通</t>
    <phoneticPr fontId="3" type="noConversion"/>
  </si>
  <si>
    <t>专业物业</t>
    <phoneticPr fontId="3" type="noConversion"/>
  </si>
  <si>
    <t>高档</t>
    <phoneticPr fontId="3" type="noConversion"/>
  </si>
  <si>
    <t>中档</t>
    <phoneticPr fontId="3" type="noConversion"/>
  </si>
  <si>
    <t>钢混</t>
    <phoneticPr fontId="3" type="noConversion"/>
  </si>
  <si>
    <t>高层</t>
  </si>
  <si>
    <t>高层</t>
    <phoneticPr fontId="21" type="noConversion"/>
  </si>
  <si>
    <t>高档</t>
  </si>
  <si>
    <t>精装修</t>
  </si>
  <si>
    <t>专业物业</t>
  </si>
  <si>
    <t>自定义</t>
  </si>
  <si>
    <t>地上</t>
    <phoneticPr fontId="7" type="noConversion"/>
  </si>
  <si>
    <t>建筑面积</t>
    <phoneticPr fontId="7" type="noConversion"/>
  </si>
  <si>
    <t>住宅</t>
    <phoneticPr fontId="7" type="noConversion"/>
  </si>
  <si>
    <t>商业</t>
    <phoneticPr fontId="7" type="noConversion"/>
  </si>
  <si>
    <t>设备</t>
    <phoneticPr fontId="7" type="noConversion"/>
  </si>
  <si>
    <t>分摊设备</t>
    <phoneticPr fontId="7" type="noConversion"/>
  </si>
  <si>
    <t>小计</t>
    <phoneticPr fontId="7" type="noConversion"/>
  </si>
  <si>
    <t>分摊土地</t>
    <phoneticPr fontId="7" type="noConversion"/>
  </si>
  <si>
    <t>合计</t>
    <phoneticPr fontId="7" type="noConversion"/>
  </si>
  <si>
    <t>地下总建筑</t>
    <phoneticPr fontId="7" type="noConversion"/>
  </si>
  <si>
    <t>地下总土地</t>
    <phoneticPr fontId="7" type="noConversion"/>
  </si>
  <si>
    <t>建筑面积</t>
    <phoneticPr fontId="225" type="noConversion"/>
  </si>
  <si>
    <t>建筑面积</t>
    <phoneticPr fontId="225" type="noConversion"/>
  </si>
  <si>
    <t>差值</t>
    <phoneticPr fontId="225" type="noConversion"/>
  </si>
  <si>
    <t>楼面单价</t>
    <phoneticPr fontId="225" type="noConversion"/>
  </si>
  <si>
    <t>抵押金额</t>
    <phoneticPr fontId="225" type="noConversion"/>
  </si>
  <si>
    <t>地面单价</t>
    <phoneticPr fontId="225" type="noConversion"/>
  </si>
  <si>
    <t xml:space="preserve">栖霞区尧化街道新尧路以东、新城路以北地块   </t>
    <phoneticPr fontId="225" type="noConversion"/>
  </si>
  <si>
    <t>江悦润府</t>
    <phoneticPr fontId="3" type="noConversion"/>
  </si>
  <si>
    <t>融信青澜</t>
    <phoneticPr fontId="3" type="noConversion"/>
  </si>
  <si>
    <t xml:space="preserve">栖霞区燕子矶街道仙林副城新港片区恒竞路以南、经十三路以西地块    </t>
    <phoneticPr fontId="225" type="noConversion"/>
  </si>
  <si>
    <t>债权金额</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</si>
</sst>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0"/>
      <color rgb="FFFF0000"/>
      <name val="宋体"/>
      <family val="3"/>
      <charset val="134"/>
      <scheme val="minor"/>
    </font>
    <font>
      <b/>
      <sz val="8"/>
      <name val="微软雅黑"/>
      <family val="2"/>
      <charset val="134"/>
    </font>
    <font>
      <sz val="10"/>
      <name val="宋体"/>
      <family val="3"/>
      <charset val="134"/>
      <scheme val="minor"/>
    </font>
    <font>
      <sz val="8"/>
      <color theme="1"/>
      <name val="微软雅黑"/>
      <family val="2"/>
      <charset val="134"/>
    </font>
    <font>
      <sz val="11"/>
      <color theme="1"/>
      <name val="Times New Roman"/>
      <family val="1"/>
    </font>
    <font>
      <sz val="11"/>
      <color theme="9" tint="-0.249977111117893"/>
      <name val="宋体"/>
      <family val="3"/>
      <charset val="134"/>
    </font>
    <font>
      <sz val="9"/>
      <color theme="1"/>
      <name val="仿宋_GB2312"/>
      <family val="3"/>
      <charset val="134"/>
    </font>
    <font>
      <sz val="9"/>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43" fontId="280" fillId="0" borderId="0" applyFont="0" applyFill="0" applyBorder="0" applyAlignment="0" applyProtection="0">
      <alignment vertical="center"/>
    </xf>
    <xf numFmtId="9" fontId="280" fillId="0" borderId="0" applyFont="0" applyFill="0" applyBorder="0" applyAlignment="0" applyProtection="0">
      <alignment vertical="center"/>
    </xf>
  </cellStyleXfs>
  <cellXfs count="38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184" fontId="73" fillId="0" borderId="2" xfId="0" applyNumberFormat="1" applyFont="1" applyFill="1" applyBorder="1" applyAlignment="1" applyProtection="1">
      <alignment horizontal="center" vertical="center" shrinkToFit="1"/>
      <protection locked="0"/>
    </xf>
    <xf numFmtId="178" fontId="73" fillId="6" borderId="2" xfId="2" applyNumberFormat="1" applyFont="1" applyFill="1" applyBorder="1" applyAlignment="1" applyProtection="1">
      <alignment horizontal="center" vertical="center"/>
      <protection locked="0"/>
    </xf>
    <xf numFmtId="0" fontId="161" fillId="6" borderId="0" xfId="0" applyFont="1" applyFill="1" applyAlignment="1">
      <alignment horizontal="left" vertical="center"/>
    </xf>
    <xf numFmtId="0" fontId="161" fillId="0" borderId="0" xfId="0" applyFont="1" applyAlignment="1">
      <alignment horizontal="left" vertical="center"/>
    </xf>
    <xf numFmtId="0" fontId="281" fillId="6" borderId="0" xfId="0" applyFont="1" applyFill="1" applyAlignment="1">
      <alignment horizontal="left" vertical="center"/>
    </xf>
    <xf numFmtId="0" fontId="167" fillId="0" borderId="0" xfId="0" applyFont="1" applyAlignment="1">
      <alignment horizontal="left" vertical="center"/>
    </xf>
    <xf numFmtId="0" fontId="161" fillId="0" borderId="2" xfId="0" applyFont="1" applyBorder="1" applyAlignment="1">
      <alignment horizontal="left" vertical="center"/>
    </xf>
    <xf numFmtId="0" fontId="282" fillId="9" borderId="2" xfId="2" applyFont="1" applyFill="1" applyBorder="1" applyAlignment="1" applyProtection="1">
      <alignment horizontal="center" vertical="center"/>
    </xf>
    <xf numFmtId="0" fontId="282" fillId="9" borderId="2" xfId="2" applyNumberFormat="1" applyFont="1" applyFill="1" applyBorder="1" applyAlignment="1" applyProtection="1">
      <alignment horizontal="center" vertical="center"/>
    </xf>
    <xf numFmtId="0" fontId="161" fillId="0" borderId="0" xfId="0" applyFont="1">
      <alignment vertical="center"/>
    </xf>
    <xf numFmtId="0" fontId="161" fillId="0" borderId="2" xfId="0" applyFont="1" applyBorder="1" applyAlignment="1">
      <alignment horizontal="left" vertical="center"/>
    </xf>
    <xf numFmtId="0" fontId="284" fillId="0" borderId="2" xfId="0" applyFont="1" applyBorder="1" applyAlignment="1">
      <alignment horizontal="center" vertical="center"/>
    </xf>
    <xf numFmtId="49" fontId="284" fillId="0" borderId="2" xfId="0" applyNumberFormat="1" applyFont="1" applyBorder="1" applyAlignment="1">
      <alignment horizontal="center" vertical="center"/>
    </xf>
    <xf numFmtId="0" fontId="284" fillId="0" borderId="2" xfId="16" applyNumberFormat="1" applyFont="1" applyBorder="1" applyAlignment="1">
      <alignment horizontal="center" vertical="center"/>
    </xf>
    <xf numFmtId="43" fontId="284" fillId="0" borderId="2" xfId="16" applyFont="1" applyBorder="1" applyAlignment="1">
      <alignment horizontal="center" vertical="center"/>
    </xf>
    <xf numFmtId="0" fontId="283" fillId="0" borderId="2" xfId="0" applyFont="1" applyBorder="1" applyAlignment="1">
      <alignment horizontal="left" vertical="center"/>
    </xf>
    <xf numFmtId="0" fontId="283" fillId="0" borderId="2" xfId="0" applyFont="1" applyBorder="1" applyAlignment="1">
      <alignment horizontal="left" vertical="center" wrapText="1"/>
    </xf>
    <xf numFmtId="177" fontId="283" fillId="0" borderId="2" xfId="0" applyNumberFormat="1" applyFont="1" applyBorder="1" applyAlignment="1">
      <alignment horizontal="left" vertical="center"/>
    </xf>
    <xf numFmtId="0" fontId="283" fillId="0" borderId="2" xfId="0" applyNumberFormat="1" applyFont="1" applyBorder="1" applyAlignment="1">
      <alignment horizontal="left" vertical="center"/>
    </xf>
    <xf numFmtId="9" fontId="161" fillId="0" borderId="0" xfId="0" applyNumberFormat="1" applyFont="1" applyAlignment="1">
      <alignment horizontal="left" vertical="center"/>
    </xf>
    <xf numFmtId="0" fontId="161" fillId="0" borderId="2" xfId="0" applyNumberFormat="1" applyFont="1" applyBorder="1" applyAlignment="1">
      <alignment horizontal="left" vertical="center"/>
    </xf>
    <xf numFmtId="177" fontId="161" fillId="0" borderId="2" xfId="0" applyNumberFormat="1" applyFont="1" applyBorder="1" applyAlignment="1">
      <alignment horizontal="left" vertical="center"/>
    </xf>
    <xf numFmtId="0" fontId="283" fillId="0" borderId="2" xfId="0" applyFont="1" applyFill="1" applyBorder="1" applyAlignment="1">
      <alignment horizontal="left" vertical="center"/>
    </xf>
    <xf numFmtId="0" fontId="161" fillId="0" borderId="2" xfId="0" applyFont="1" applyBorder="1" applyAlignment="1">
      <alignment horizontal="left" vertical="center" wrapText="1"/>
    </xf>
    <xf numFmtId="0" fontId="161" fillId="0" borderId="2" xfId="0" applyNumberFormat="1" applyFont="1" applyBorder="1" applyAlignment="1">
      <alignment horizontal="left"/>
    </xf>
    <xf numFmtId="0" fontId="0" fillId="0" borderId="0" xfId="0" applyAlignment="1">
      <alignment horizontal="left"/>
    </xf>
    <xf numFmtId="0" fontId="161" fillId="0" borderId="0" xfId="0" applyNumberFormat="1" applyFont="1">
      <alignment vertical="center"/>
    </xf>
    <xf numFmtId="0" fontId="0" fillId="0" borderId="0" xfId="0" applyAlignment="1">
      <alignment horizontal="center"/>
    </xf>
    <xf numFmtId="0" fontId="142" fillId="0" borderId="0" xfId="0" applyNumberFormat="1" applyFont="1" applyAlignment="1">
      <alignment horizontal="center"/>
    </xf>
    <xf numFmtId="182" fontId="0" fillId="0" borderId="0" xfId="17" applyNumberFormat="1" applyFont="1" applyAlignment="1">
      <alignment horizontal="left"/>
    </xf>
    <xf numFmtId="0" fontId="0" fillId="0" borderId="0" xfId="0" applyNumberFormat="1" applyAlignment="1">
      <alignment horizontal="center"/>
    </xf>
    <xf numFmtId="0" fontId="167" fillId="6" borderId="0" xfId="0" applyFont="1" applyFill="1" applyAlignment="1">
      <alignment horizontal="left" vertical="center"/>
    </xf>
    <xf numFmtId="9" fontId="161" fillId="0" borderId="0" xfId="17" applyFont="1" applyAlignment="1">
      <alignment horizontal="left" vertical="center"/>
    </xf>
    <xf numFmtId="0" fontId="167" fillId="0" borderId="0" xfId="0" applyFont="1" applyFill="1" applyAlignment="1">
      <alignment horizontal="left" vertical="center"/>
    </xf>
    <xf numFmtId="0" fontId="167" fillId="0" borderId="0" xfId="0" applyFont="1">
      <alignment vertical="center"/>
    </xf>
    <xf numFmtId="0" fontId="283" fillId="0" borderId="0" xfId="0" applyFont="1" applyAlignment="1">
      <alignment horizontal="left" vertical="center"/>
    </xf>
    <xf numFmtId="177" fontId="283" fillId="0" borderId="0" xfId="0" applyNumberFormat="1" applyFont="1" applyAlignment="1">
      <alignment horizontal="left" vertical="center"/>
    </xf>
    <xf numFmtId="0" fontId="283" fillId="0" borderId="0" xfId="0" applyNumberFormat="1" applyFont="1" applyAlignment="1">
      <alignment horizontal="left" vertical="center"/>
    </xf>
    <xf numFmtId="0" fontId="167" fillId="0" borderId="0" xfId="0" applyNumberFormat="1" applyFont="1">
      <alignment vertical="center"/>
    </xf>
    <xf numFmtId="0" fontId="283" fillId="0" borderId="0" xfId="0" applyFont="1" applyFill="1" applyAlignment="1">
      <alignment horizontal="left" vertical="center"/>
    </xf>
    <xf numFmtId="0" fontId="161" fillId="0" borderId="0" xfId="0" applyFont="1" applyFill="1" applyAlignment="1">
      <alignment horizontal="left" vertical="center"/>
    </xf>
    <xf numFmtId="0" fontId="161" fillId="0" borderId="0" xfId="0" applyFont="1" applyFill="1">
      <alignment vertical="center"/>
    </xf>
    <xf numFmtId="0" fontId="161" fillId="0" borderId="0" xfId="0" applyNumberFormat="1" applyFont="1" applyFill="1">
      <alignment vertical="center"/>
    </xf>
    <xf numFmtId="0" fontId="161" fillId="0" borderId="0" xfId="0" applyFont="1" applyFill="1" applyBorder="1" applyAlignment="1">
      <alignment horizontal="left" vertical="center"/>
    </xf>
    <xf numFmtId="0" fontId="161" fillId="0" borderId="0" xfId="0" applyFont="1" applyFill="1" applyBorder="1">
      <alignment vertical="center"/>
    </xf>
    <xf numFmtId="0" fontId="161" fillId="0" borderId="0" xfId="0" applyNumberFormat="1" applyFont="1" applyFill="1" applyBorder="1">
      <alignment vertical="center"/>
    </xf>
    <xf numFmtId="0" fontId="161" fillId="0" borderId="0" xfId="0" applyFont="1" applyBorder="1" applyAlignment="1">
      <alignment horizontal="left" vertical="center"/>
    </xf>
    <xf numFmtId="0" fontId="161" fillId="0" borderId="0" xfId="0" applyFont="1" applyBorder="1">
      <alignment vertical="center"/>
    </xf>
    <xf numFmtId="0" fontId="161" fillId="0" borderId="0" xfId="0" applyNumberFormat="1" applyFont="1" applyBorder="1">
      <alignment vertical="center"/>
    </xf>
    <xf numFmtId="0" fontId="283" fillId="0" borderId="0" xfId="0" applyFont="1" applyFill="1" applyBorder="1" applyAlignment="1">
      <alignment horizontal="left" vertical="center"/>
    </xf>
    <xf numFmtId="0" fontId="167" fillId="0" borderId="0" xfId="0" applyFont="1" applyFill="1" applyBorder="1">
      <alignment vertical="center"/>
    </xf>
    <xf numFmtId="9" fontId="161" fillId="0" borderId="0" xfId="0" applyNumberFormat="1" applyFont="1" applyFill="1" applyBorder="1">
      <alignment vertical="center"/>
    </xf>
    <xf numFmtId="0" fontId="283" fillId="12" borderId="0" xfId="0" applyFont="1" applyFill="1" applyBorder="1">
      <alignment vertical="center"/>
    </xf>
    <xf numFmtId="0" fontId="283" fillId="12" borderId="0" xfId="0" applyFont="1" applyFill="1" applyBorder="1" applyAlignment="1">
      <alignment horizontal="left" vertical="center"/>
    </xf>
    <xf numFmtId="0" fontId="283" fillId="0" borderId="0" xfId="0" applyFont="1" applyFill="1" applyBorder="1">
      <alignment vertical="center"/>
    </xf>
    <xf numFmtId="0" fontId="283" fillId="12" borderId="0" xfId="0" applyNumberFormat="1" applyFont="1" applyFill="1" applyBorder="1">
      <alignment vertical="center"/>
    </xf>
    <xf numFmtId="0" fontId="285" fillId="0" borderId="0" xfId="0" applyNumberFormat="1" applyFont="1" applyAlignment="1">
      <alignment horizontal="center"/>
    </xf>
    <xf numFmtId="43" fontId="285" fillId="0" borderId="0" xfId="0" applyNumberFormat="1" applyFont="1" applyAlignment="1">
      <alignment horizontal="center"/>
    </xf>
    <xf numFmtId="0" fontId="78" fillId="0" borderId="59" xfId="0" applyNumberFormat="1" applyFont="1" applyFill="1" applyBorder="1" applyAlignment="1" applyProtection="1">
      <alignment horizontal="center" vertical="center" wrapText="1"/>
      <protection locked="0"/>
    </xf>
    <xf numFmtId="0" fontId="161" fillId="0" borderId="0" xfId="0" applyNumberFormat="1" applyFont="1" applyAlignment="1"/>
    <xf numFmtId="14" fontId="161" fillId="0" borderId="0" xfId="0" applyNumberFormat="1" applyFont="1" applyAlignment="1"/>
    <xf numFmtId="0" fontId="167" fillId="0" borderId="0" xfId="0" applyNumberFormat="1" applyFont="1" applyAlignment="1"/>
    <xf numFmtId="14" fontId="167" fillId="0" borderId="0" xfId="0" applyNumberFormat="1" applyFont="1" applyAlignment="1"/>
    <xf numFmtId="0" fontId="167" fillId="6" borderId="0" xfId="0" applyNumberFormat="1" applyFont="1" applyFill="1" applyAlignment="1"/>
    <xf numFmtId="14" fontId="167" fillId="6" borderId="0" xfId="0" applyNumberFormat="1" applyFont="1" applyFill="1" applyAlignment="1"/>
    <xf numFmtId="0" fontId="283" fillId="0" borderId="0" xfId="0" applyNumberFormat="1" applyFont="1" applyAlignment="1"/>
    <xf numFmtId="14" fontId="283" fillId="0" borderId="0" xfId="0" applyNumberFormat="1" applyFont="1" applyAlignment="1"/>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182" fontId="155" fillId="0" borderId="12" xfId="0" applyNumberFormat="1" applyFont="1" applyFill="1" applyBorder="1" applyAlignment="1" applyProtection="1">
      <alignment horizontal="center" vertical="center"/>
      <protection locked="0"/>
    </xf>
    <xf numFmtId="0" fontId="287" fillId="0" borderId="159" xfId="0" applyFont="1" applyBorder="1" applyAlignment="1">
      <alignment vertical="center" wrapText="1"/>
    </xf>
    <xf numFmtId="0" fontId="287" fillId="0" borderId="160" xfId="0" applyFont="1" applyBorder="1" applyAlignment="1">
      <alignment vertical="center" wrapText="1"/>
    </xf>
    <xf numFmtId="0" fontId="170" fillId="0" borderId="161" xfId="0" applyFont="1" applyBorder="1" applyAlignment="1">
      <alignment vertical="center" wrapText="1"/>
    </xf>
    <xf numFmtId="0" fontId="287" fillId="0" borderId="162" xfId="0" applyFont="1" applyBorder="1" applyAlignment="1">
      <alignment vertical="center" wrapText="1"/>
    </xf>
    <xf numFmtId="0" fontId="170" fillId="0" borderId="162" xfId="0" applyFont="1" applyBorder="1" applyAlignment="1">
      <alignment vertical="center" wrapText="1"/>
    </xf>
    <xf numFmtId="0" fontId="170" fillId="0" borderId="160" xfId="0" applyFont="1" applyBorder="1" applyAlignment="1">
      <alignment vertical="center" wrapText="1"/>
    </xf>
    <xf numFmtId="0" fontId="287" fillId="0" borderId="0" xfId="0" applyFont="1" applyFill="1" applyBorder="1" applyAlignment="1">
      <alignment vertical="center" wrapText="1"/>
    </xf>
    <xf numFmtId="0" fontId="78" fillId="0" borderId="74" xfId="0" applyNumberFormat="1" applyFont="1" applyFill="1" applyBorder="1" applyAlignment="1" applyProtection="1">
      <alignment horizontal="center" vertical="center" wrapText="1"/>
      <protection locked="0"/>
    </xf>
    <xf numFmtId="0" fontId="68" fillId="16" borderId="2" xfId="0" applyFont="1" applyFill="1" applyBorder="1" applyProtection="1">
      <alignment vertical="center"/>
      <protection locked="0"/>
    </xf>
    <xf numFmtId="0" fontId="68" fillId="16" borderId="2" xfId="0" applyFont="1" applyFill="1" applyBorder="1" applyAlignment="1" applyProtection="1">
      <alignment vertical="center"/>
      <protection locked="0"/>
    </xf>
    <xf numFmtId="0" fontId="68" fillId="16" borderId="11" xfId="0" applyFont="1" applyFill="1" applyBorder="1" applyAlignment="1" applyProtection="1">
      <alignment vertical="center"/>
      <protection locked="0"/>
    </xf>
    <xf numFmtId="0" fontId="68" fillId="16" borderId="12" xfId="0" applyFont="1" applyFill="1" applyBorder="1" applyAlignment="1" applyProtection="1">
      <alignment vertical="center"/>
      <protection locked="0"/>
    </xf>
    <xf numFmtId="0" fontId="68" fillId="16" borderId="11" xfId="0" applyFont="1" applyFill="1" applyBorder="1" applyProtection="1">
      <alignment vertical="center"/>
      <protection locked="0"/>
    </xf>
    <xf numFmtId="0" fontId="68" fillId="16" borderId="12" xfId="0" applyFont="1" applyFill="1" applyBorder="1" applyProtection="1">
      <alignment vertical="center"/>
      <protection locked="0"/>
    </xf>
    <xf numFmtId="177" fontId="68" fillId="5" borderId="2" xfId="0" applyNumberFormat="1" applyFont="1" applyFill="1" applyBorder="1" applyProtection="1">
      <alignment vertical="center"/>
      <protection locked="0"/>
    </xf>
    <xf numFmtId="0" fontId="78" fillId="0" borderId="0" xfId="0" applyFont="1" applyProtection="1">
      <alignment vertical="center"/>
      <protection locked="0"/>
    </xf>
    <xf numFmtId="0" fontId="78"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254" fillId="0" borderId="66" xfId="0" applyFont="1" applyBorder="1" applyAlignment="1">
      <alignment horizontal="justify" vertical="center"/>
    </xf>
    <xf numFmtId="0" fontId="287" fillId="0" borderId="163" xfId="0" applyFont="1" applyFill="1" applyBorder="1" applyAlignment="1">
      <alignment vertical="center" wrapText="1"/>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61" fillId="0" borderId="5" xfId="0" applyFont="1" applyBorder="1" applyAlignment="1">
      <alignment horizontal="left" vertical="center"/>
    </xf>
    <xf numFmtId="0" fontId="161" fillId="0" borderId="8" xfId="0" applyFont="1" applyBorder="1" applyAlignment="1">
      <alignment horizontal="left" vertical="center"/>
    </xf>
    <xf numFmtId="0" fontId="161" fillId="0" borderId="9" xfId="0" applyFont="1" applyBorder="1" applyAlignment="1">
      <alignment horizontal="left" vertical="center"/>
    </xf>
    <xf numFmtId="0" fontId="283" fillId="0" borderId="2" xfId="0" applyFont="1" applyBorder="1" applyAlignment="1">
      <alignment horizontal="left" vertical="center"/>
    </xf>
    <xf numFmtId="0" fontId="159" fillId="0" borderId="2" xfId="0" applyFont="1" applyBorder="1" applyAlignment="1">
      <alignment horizontal="left" vertical="center" wrapText="1"/>
    </xf>
    <xf numFmtId="0" fontId="161" fillId="0" borderId="2" xfId="0" applyFont="1" applyBorder="1" applyAlignment="1">
      <alignment horizontal="left" vertical="center"/>
    </xf>
    <xf numFmtId="0" fontId="283" fillId="0" borderId="2" xfId="0" applyNumberFormat="1" applyFont="1" applyBorder="1" applyAlignment="1">
      <alignment horizontal="left" vertical="center"/>
    </xf>
    <xf numFmtId="0" fontId="161" fillId="0" borderId="10" xfId="0" applyFont="1" applyBorder="1" applyAlignment="1">
      <alignment horizontal="center" vertical="center"/>
    </xf>
    <xf numFmtId="0" fontId="161" fillId="0" borderId="3" xfId="0" applyFont="1" applyBorder="1" applyAlignment="1">
      <alignment horizontal="center" vertical="center"/>
    </xf>
    <xf numFmtId="0" fontId="161" fillId="0" borderId="21" xfId="0" applyFont="1" applyBorder="1" applyAlignment="1">
      <alignment horizontal="center" vertical="center"/>
    </xf>
    <xf numFmtId="0" fontId="161" fillId="0" borderId="10" xfId="0" applyFont="1" applyBorder="1" applyAlignment="1">
      <alignment horizontal="center" vertical="center" wrapText="1"/>
    </xf>
    <xf numFmtId="0" fontId="161" fillId="0" borderId="3" xfId="0" applyFont="1" applyBorder="1" applyAlignment="1">
      <alignment horizontal="center" vertical="center" wrapText="1"/>
    </xf>
    <xf numFmtId="0" fontId="161" fillId="0" borderId="21" xfId="0" applyFont="1" applyBorder="1" applyAlignment="1">
      <alignment horizontal="center" vertical="center" wrapText="1"/>
    </xf>
    <xf numFmtId="0" fontId="159" fillId="0" borderId="10" xfId="0" applyFont="1" applyBorder="1" applyAlignment="1">
      <alignment horizontal="center" vertical="center" wrapText="1"/>
    </xf>
    <xf numFmtId="0" fontId="159" fillId="0" borderId="3" xfId="0" applyFont="1" applyBorder="1" applyAlignment="1">
      <alignment horizontal="center" vertical="center" wrapText="1"/>
    </xf>
    <xf numFmtId="0" fontId="159" fillId="0" borderId="21" xfId="0"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86" fillId="0" borderId="11" xfId="0" applyFont="1" applyFill="1" applyBorder="1" applyAlignment="1" applyProtection="1">
      <alignment horizontal="center" vertical="center" wrapText="1"/>
      <protection locked="0"/>
    </xf>
    <xf numFmtId="0" fontId="28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D&#22320;&#22359;&#26410;&#21806;&#38754;&#31215;&#32479;&#3574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1335;&#20140;&#39033;&#30446;&#27979;&#31639;-B&#21830;&#19994;&#22303;&#22320;7.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地块未售"/>
      <sheetName val="D1"/>
      <sheetName val="D2"/>
      <sheetName val="D3"/>
      <sheetName val="D4"/>
      <sheetName val="D5"/>
      <sheetName val="C1"/>
      <sheetName val="C2"/>
      <sheetName val="C3"/>
      <sheetName val="C4"/>
      <sheetName val="C5"/>
      <sheetName val="C6"/>
      <sheetName val="C7"/>
      <sheetName val="C8"/>
      <sheetName val="C9"/>
      <sheetName val="C10"/>
    </sheetNames>
    <sheetDataSet>
      <sheetData sheetId="0"/>
      <sheetData sheetId="1">
        <row r="33">
          <cell r="J33">
            <v>17005.980000000003</v>
          </cell>
        </row>
        <row r="41">
          <cell r="J41">
            <v>818.1</v>
          </cell>
        </row>
      </sheetData>
      <sheetData sheetId="2">
        <row r="35">
          <cell r="J35">
            <v>13939.86</v>
          </cell>
        </row>
      </sheetData>
      <sheetData sheetId="3">
        <row r="35">
          <cell r="J35">
            <v>13939.86</v>
          </cell>
        </row>
      </sheetData>
      <sheetData sheetId="4">
        <row r="35">
          <cell r="J35">
            <v>12006.589999999995</v>
          </cell>
        </row>
        <row r="41">
          <cell r="J41">
            <v>109.21</v>
          </cell>
        </row>
      </sheetData>
      <sheetData sheetId="5">
        <row r="35">
          <cell r="J35">
            <v>12114.799999999994</v>
          </cell>
        </row>
      </sheetData>
      <sheetData sheetId="6">
        <row r="33">
          <cell r="J33">
            <v>9883.5000000000018</v>
          </cell>
        </row>
        <row r="41">
          <cell r="J41">
            <v>367.31</v>
          </cell>
        </row>
        <row r="44">
          <cell r="J44">
            <v>476.53999999999996</v>
          </cell>
        </row>
      </sheetData>
      <sheetData sheetId="7">
        <row r="33">
          <cell r="J33">
            <v>9886.9999999999945</v>
          </cell>
        </row>
        <row r="41">
          <cell r="J41">
            <v>393.19000000000005</v>
          </cell>
        </row>
        <row r="44">
          <cell r="J44">
            <v>273.64999999999998</v>
          </cell>
        </row>
      </sheetData>
      <sheetData sheetId="8">
        <row r="33">
          <cell r="J33">
            <v>10555.000000000002</v>
          </cell>
        </row>
        <row r="41">
          <cell r="J41">
            <v>420.04</v>
          </cell>
        </row>
      </sheetData>
      <sheetData sheetId="9">
        <row r="33">
          <cell r="J33">
            <v>11823.760000000004</v>
          </cell>
        </row>
        <row r="41">
          <cell r="J41">
            <v>4.33</v>
          </cell>
        </row>
      </sheetData>
      <sheetData sheetId="10">
        <row r="33">
          <cell r="J33">
            <v>11823.760000000004</v>
          </cell>
        </row>
        <row r="41">
          <cell r="J41">
            <v>4.33</v>
          </cell>
        </row>
      </sheetData>
      <sheetData sheetId="11">
        <row r="33">
          <cell r="J33">
            <v>9888.5000000000036</v>
          </cell>
        </row>
        <row r="41">
          <cell r="J41">
            <v>298.79000000000002</v>
          </cell>
        </row>
      </sheetData>
      <sheetData sheetId="12">
        <row r="33">
          <cell r="J33">
            <v>9978.6599999999962</v>
          </cell>
        </row>
        <row r="41">
          <cell r="J41">
            <v>193.78</v>
          </cell>
        </row>
      </sheetData>
      <sheetData sheetId="13">
        <row r="33">
          <cell r="J33">
            <v>12627.159999999998</v>
          </cell>
        </row>
        <row r="41">
          <cell r="J41">
            <v>4.33</v>
          </cell>
        </row>
      </sheetData>
      <sheetData sheetId="14">
        <row r="33">
          <cell r="J33">
            <v>13415.999999999996</v>
          </cell>
        </row>
        <row r="41">
          <cell r="J41">
            <v>4.33</v>
          </cell>
        </row>
      </sheetData>
      <sheetData sheetId="15">
        <row r="33">
          <cell r="J33">
            <v>12143.499999999996</v>
          </cell>
        </row>
        <row r="41">
          <cell r="J41">
            <v>7.37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
      <sheetName val="拆分价值"/>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办公"/>
      <sheetName val="不动产收益法-地下商业"/>
      <sheetName val="不动产收益法-自持商业"/>
      <sheetName val="不动产收益法-可售商业"/>
      <sheetName val="不动产收益法-酒店"/>
      <sheetName val="不动产收益法-酒店模型"/>
      <sheetName val="成本逼近法"/>
      <sheetName val="不动产比较法-公寓"/>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4">
          <cell r="C4">
            <v>128447</v>
          </cell>
        </row>
      </sheetData>
      <sheetData sheetId="12"/>
      <sheetData sheetId="13"/>
      <sheetData sheetId="14"/>
      <sheetData sheetId="15"/>
      <sheetData sheetId="16"/>
      <sheetData sheetId="17">
        <row r="14">
          <cell r="B14">
            <v>205051.6</v>
          </cell>
          <cell r="C14">
            <v>51144.97</v>
          </cell>
          <cell r="D14">
            <v>128447</v>
          </cell>
          <cell r="G14">
            <v>75468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2372</v>
      </c>
      <c r="B1" s="2530" t="s">
        <v>2469</v>
      </c>
    </row>
    <row r="2" spans="1:55" s="2534" customFormat="1" ht="15" thickTop="1">
      <c r="A2" s="2532" t="s">
        <v>2376</v>
      </c>
      <c r="B2" s="2533" t="str">
        <f>'预评函-封皮'!B37</f>
        <v>出让国有建设用地使用权抵押价格预评估</v>
      </c>
      <c r="AX2" s="2535"/>
      <c r="AZ2" s="2535"/>
      <c r="BA2" s="2536"/>
      <c r="BC2" s="2536"/>
    </row>
    <row r="3" spans="1:55" s="2537" customFormat="1">
      <c r="A3" s="2516" t="s">
        <v>2377</v>
      </c>
      <c r="B3" s="2519">
        <f>'预评函-封皮'!B40</f>
        <v>0</v>
      </c>
    </row>
    <row r="4" spans="1:55" s="2518" customFormat="1">
      <c r="A4" s="2516" t="s">
        <v>2378</v>
      </c>
      <c r="B4" s="2517" t="str">
        <f>'预评函-封皮'!B46</f>
        <v>吴薇、崔锴</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2379</v>
      </c>
      <c r="B5" s="2539" t="str">
        <f>'预评函-封皮'!B49</f>
        <v>康正预评字号</v>
      </c>
    </row>
    <row r="6" spans="1:55" s="2540" customFormat="1" ht="15" thickTop="1">
      <c r="A6" s="2532" t="s">
        <v>2421</v>
      </c>
      <c r="B6" s="2533" t="str">
        <f>'预评函-1'!A4</f>
        <v>受贵公司委托，我公司对出让国有建设用地使用权抵押价格进行了预评估。</v>
      </c>
      <c r="AM6" s="2541"/>
    </row>
    <row r="7" spans="1:55" s="2515" customFormat="1">
      <c r="A7" s="2516" t="s">
        <v>2373</v>
      </c>
      <c r="B7" s="2517" t="str">
        <f>'预评函-1'!A6</f>
        <v>估价对象为使用的、位于出让国有建设用地使用权。根据《国有土地使用证》[]，估价对象（分摊）出让国有建设用地使用权面积为64770.31平方米。根据《建设工程规划许可证》[]、《出让合同》[]，估价对象规划建筑面积为225000.81平方米。</v>
      </c>
    </row>
    <row r="8" spans="1:55" s="2515" customFormat="1">
      <c r="A8" s="2516" t="s">
        <v>2374</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2424</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2375</v>
      </c>
      <c r="B10" s="2517" t="str">
        <f>'预评函-1'!A11</f>
        <v>2022年7月5日（评估专业人员勘察现场之日）</v>
      </c>
    </row>
    <row r="11" spans="1:55" s="2515" customFormat="1">
      <c r="A11" s="2516" t="s">
        <v>2381</v>
      </c>
      <c r="B11" s="2517" t="str">
        <f>'预评函-1'!A14</f>
        <v>根据《国有土地使用证》[]，本次评估估价对象证载（地类）用途为。</v>
      </c>
    </row>
    <row r="12" spans="1:55" s="2515" customFormat="1">
      <c r="A12" s="2516" t="s">
        <v>2382</v>
      </c>
      <c r="B12" s="2517" t="str">
        <f>'预评函-1'!A15</f>
        <v>本次评估设定用途即为证载用途。</v>
      </c>
    </row>
    <row r="13" spans="1:55" s="2515" customFormat="1">
      <c r="A13" s="2516" t="s">
        <v>2383</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2384</v>
      </c>
      <c r="B14" s="2517" t="str">
        <f>'预评函-1'!A18</f>
        <v>。本次评估设定土地开发程度为红线外市政基础设施达“七通”、宗地红线内场地平整。</v>
      </c>
    </row>
    <row r="15" spans="1:55" s="2515" customFormat="1">
      <c r="A15" s="2516" t="s">
        <v>2380</v>
      </c>
      <c r="B15" s="2517" t="str">
        <f>'预评函-1'!A20</f>
        <v>根据《国有土地使用证》[]，估价对象（分摊）出让国有建设用地使用权面积为64770.31平方米。根据《建设工程规划许可证》[]、《出让合同》[]，估价对象规划建筑面积为225000.81平方米。</v>
      </c>
    </row>
    <row r="16" spans="1:55" s="2515" customFormat="1">
      <c r="A16" s="2516" t="s">
        <v>2385</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17" spans="1:48" s="2515" customFormat="1">
      <c r="A17" s="2516" t="s">
        <v>2386</v>
      </c>
      <c r="B17" s="2517" t="str">
        <f>'预评函-1'!A23</f>
        <v>本次评估设定估价对象剩余土地使用年限为。</v>
      </c>
    </row>
    <row r="18" spans="1:48" s="2515" customFormat="1">
      <c r="A18" s="2516" t="s">
        <v>2387</v>
      </c>
      <c r="B18" s="2517" t="str">
        <f>'预评函-1'!A25</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19" spans="1:48" s="2515" customFormat="1">
      <c r="A19" s="2516" t="s">
        <v>2388</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2389</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2390</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2391</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2392</v>
      </c>
      <c r="B23" s="2517" t="str">
        <f>'预评函-2'!K2</f>
        <v>估价期日：2022年7月5日</v>
      </c>
    </row>
    <row r="24" spans="1:48">
      <c r="A24" s="2516" t="s">
        <v>2393</v>
      </c>
      <c r="B24" s="2517" t="str">
        <f>'预评函-2'!R2</f>
        <v>估价期日的国有建设用地使用权性质：出让</v>
      </c>
    </row>
    <row r="25" spans="1:48">
      <c r="A25" s="2516" t="s">
        <v>2449</v>
      </c>
      <c r="B25" s="2517" t="str">
        <f>'预评函-2'!A3</f>
        <v>估价期日土地使用者</v>
      </c>
    </row>
    <row r="26" spans="1:48">
      <c r="A26" s="2516" t="s">
        <v>2425</v>
      </c>
      <c r="B26" s="2517" t="str">
        <f>'预评函-2'!A5</f>
        <v>中信开发</v>
      </c>
    </row>
    <row r="27" spans="1:48">
      <c r="A27" s="2516" t="s">
        <v>2450</v>
      </c>
      <c r="B27" s="2517" t="str">
        <f>'预评函-2'!B3</f>
        <v>宗地编号/不动产单元号</v>
      </c>
    </row>
    <row r="28" spans="1:48">
      <c r="A28" s="2516" t="s">
        <v>2426</v>
      </c>
      <c r="B28" s="2517" t="str">
        <f>'预评函-2'!B5</f>
        <v>11111111111</v>
      </c>
    </row>
    <row r="29" spans="1:48">
      <c r="A29" s="2516" t="s">
        <v>2452</v>
      </c>
      <c r="B29" s="2517">
        <f>'预评函-2'!C5</f>
        <v>22</v>
      </c>
    </row>
    <row r="30" spans="1:48">
      <c r="A30" s="2516" t="s">
        <v>2453</v>
      </c>
      <c r="B30" s="2517" t="str">
        <f>'预评函-2'!D3</f>
        <v>土地使用证编号/不动产权证书编号</v>
      </c>
    </row>
    <row r="31" spans="1:48">
      <c r="A31" s="2516" t="s">
        <v>2427</v>
      </c>
      <c r="B31" s="2517" t="str">
        <f>'预评函-2'!D5</f>
        <v>京国土字第111号</v>
      </c>
    </row>
    <row r="32" spans="1:48">
      <c r="A32" s="2516" t="s">
        <v>2428</v>
      </c>
      <c r="B32" s="2517">
        <f>'预评函-2'!E5</f>
        <v>0</v>
      </c>
      <c r="AV32" s="2521"/>
    </row>
    <row r="33" spans="1:2">
      <c r="A33" s="2516" t="s">
        <v>2429</v>
      </c>
      <c r="B33" s="2517">
        <f>'预评函-2'!F5</f>
        <v>258</v>
      </c>
    </row>
    <row r="34" spans="1:2">
      <c r="A34" s="2516" t="s">
        <v>2430</v>
      </c>
      <c r="B34" s="2517">
        <f>'预评函-2'!G5</f>
        <v>0</v>
      </c>
    </row>
    <row r="35" spans="1:2">
      <c r="A35" s="2516" t="s">
        <v>2431</v>
      </c>
      <c r="B35" s="2517">
        <f>'预评函-2'!H5</f>
        <v>1.5</v>
      </c>
    </row>
    <row r="36" spans="1:2">
      <c r="A36" s="2516" t="s">
        <v>2432</v>
      </c>
      <c r="B36" s="2517">
        <f>'预评函-2'!I5</f>
        <v>1.5</v>
      </c>
    </row>
    <row r="37" spans="1:2">
      <c r="A37" s="2516" t="s">
        <v>2433</v>
      </c>
      <c r="B37" s="2517">
        <f>'预评函-2'!J5</f>
        <v>1.5</v>
      </c>
    </row>
    <row r="38" spans="1:2">
      <c r="A38" s="2516" t="s">
        <v>2434</v>
      </c>
      <c r="B38" s="2517" t="str">
        <f>'预评函-2'!K5</f>
        <v>红线外七通、宗地红线内</v>
      </c>
    </row>
    <row r="39" spans="1:2">
      <c r="A39" s="2516" t="s">
        <v>2435</v>
      </c>
      <c r="B39" s="2517" t="str">
        <f>'预评函-2'!L5</f>
        <v>红线外七通、宗地红线内场地</v>
      </c>
    </row>
    <row r="40" spans="1:2">
      <c r="A40" s="2516" t="s">
        <v>2454</v>
      </c>
      <c r="B40" s="2517" t="str">
        <f>'预评函-2'!M3</f>
        <v>（剩余）土地使用年限/年</v>
      </c>
    </row>
    <row r="41" spans="1:2">
      <c r="A41" s="2516" t="s">
        <v>2436</v>
      </c>
      <c r="B41" s="2517">
        <f>'预评函-2'!M5</f>
        <v>0</v>
      </c>
    </row>
    <row r="42" spans="1:2">
      <c r="A42" s="2516" t="s">
        <v>2455</v>
      </c>
      <c r="B42" s="2517" t="str">
        <f>'预评函-2'!N3</f>
        <v>（分摊）出让国有建设用地使用权面积/㎡</v>
      </c>
    </row>
    <row r="43" spans="1:2">
      <c r="A43" s="2516" t="s">
        <v>2437</v>
      </c>
      <c r="B43" s="2517">
        <f>'预评函-2'!N5</f>
        <v>64770.31</v>
      </c>
    </row>
    <row r="44" spans="1:2">
      <c r="A44" s="2516" t="s">
        <v>2456</v>
      </c>
      <c r="B44" s="2517" t="str">
        <f>'预评函-2'!O3</f>
        <v>规划建筑面积/㎡</v>
      </c>
    </row>
    <row r="45" spans="1:2">
      <c r="A45" s="2516" t="s">
        <v>2438</v>
      </c>
      <c r="B45" s="2517">
        <f>'预评函-2'!O5</f>
        <v>225000.80999999997</v>
      </c>
    </row>
    <row r="46" spans="1:2">
      <c r="A46" s="2516" t="s">
        <v>2439</v>
      </c>
      <c r="B46" s="2517">
        <f ca="1">'预评函-2'!P5</f>
        <v>39497</v>
      </c>
    </row>
    <row r="47" spans="1:2">
      <c r="A47" s="2516" t="s">
        <v>2440</v>
      </c>
      <c r="B47" s="2517">
        <f ca="1">'预评函-2'!Q5</f>
        <v>11370</v>
      </c>
    </row>
    <row r="48" spans="1:2">
      <c r="A48" s="2516" t="s">
        <v>2441</v>
      </c>
      <c r="B48" s="2517">
        <f ca="1">'预评函-2'!R5</f>
        <v>255824</v>
      </c>
    </row>
    <row r="49" spans="1:2">
      <c r="A49" s="2516" t="s">
        <v>2457</v>
      </c>
      <c r="B49" s="2517" t="str">
        <f>'预评函-2'!A6</f>
        <v>抵押价格</v>
      </c>
    </row>
    <row r="50" spans="1:2">
      <c r="A50" s="2516" t="s">
        <v>2442</v>
      </c>
      <c r="B50" s="2517">
        <f ca="1">'预评函-2'!R6</f>
        <v>255824</v>
      </c>
    </row>
    <row r="51" spans="1:2">
      <c r="A51" s="2516" t="s">
        <v>2458</v>
      </c>
      <c r="B51" s="2517" t="str">
        <f>'预评函-2'!A7</f>
        <v>——</v>
      </c>
    </row>
    <row r="52" spans="1:2">
      <c r="A52" s="2516" t="s">
        <v>2443</v>
      </c>
      <c r="B52" s="2517" t="str">
        <f>'预评函-2'!R7</f>
        <v>——</v>
      </c>
    </row>
    <row r="53" spans="1:2">
      <c r="A53" s="2516" t="s">
        <v>2459</v>
      </c>
      <c r="B53" s="2517">
        <f>'预评函-2'!A8</f>
        <v>0</v>
      </c>
    </row>
    <row r="54" spans="1:2" s="2531" customFormat="1" ht="15" thickBot="1">
      <c r="A54" s="2538" t="s">
        <v>2444</v>
      </c>
      <c r="B54" s="2539" t="str">
        <f>'预评函-2'!R8</f>
        <v>——</v>
      </c>
    </row>
    <row r="55" spans="1:2" ht="15" thickTop="1">
      <c r="A55" s="2527" t="s">
        <v>2394</v>
      </c>
      <c r="B55" s="2528" t="str">
        <f>'预评函-3'!A2</f>
        <v>1.权利限制：根据估价对象《不动产权证书》原件、《国有土地使用权》复印件，截至估价期日，估价对象抵押权未见登记。未设定租赁等其他他项权利。</v>
      </c>
    </row>
    <row r="56" spans="1:2">
      <c r="A56" s="2516" t="s">
        <v>2395</v>
      </c>
      <c r="B56" s="2517" t="str">
        <f>'预评函-3'!A3</f>
        <v>2.基础设施条件：估价对象实际开发程度为红线外七通、宗地红线内；本次评估设定开发程度为红线外七通、宗地红线内场地。</v>
      </c>
    </row>
    <row r="57" spans="1:2">
      <c r="A57" s="2516" t="s">
        <v>2396</v>
      </c>
      <c r="B57" s="2517" t="str">
        <f>'预评函-3'!A4</f>
        <v>3.估价规划限制条件：详见《建设工程规划许可证》[]、《出让合同》[]。</v>
      </c>
    </row>
    <row r="58" spans="1:2" s="2531" customFormat="1" ht="15" thickBot="1">
      <c r="A58" s="2538" t="s">
        <v>2445</v>
      </c>
      <c r="B58" s="2539" t="str">
        <f>'预评函-3'!A5</f>
        <v>4.影响价格的其他限定条件：无。</v>
      </c>
    </row>
    <row r="59" spans="1:2" ht="15" thickTop="1">
      <c r="A59" s="2527" t="s">
        <v>2397</v>
      </c>
      <c r="B59" s="2528" t="str">
        <f>'预评函-3'!A8</f>
        <v>2.本《评估意见函》仅供金融机构进行内部审核使用，不做其他目的之用。</v>
      </c>
    </row>
    <row r="60" spans="1:2">
      <c r="A60" s="2516" t="s">
        <v>2398</v>
      </c>
      <c r="B60" s="2517" t="str">
        <f>'预评函-3'!A9</f>
        <v>3.抵押双方在办理抵押登记手续时，应使用本公司出具的正式《土地估价报告》，特提请报告使用者注意。</v>
      </c>
    </row>
    <row r="61" spans="1:2">
      <c r="A61" s="2516" t="s">
        <v>2400</v>
      </c>
      <c r="B61" s="2517" t="str">
        <f>'预评函-3'!A10</f>
        <v>4.估价师所知悉的法定优先受偿款情况为：</v>
      </c>
    </row>
    <row r="62" spans="1:2">
      <c r="A62" s="2516" t="s">
        <v>2399</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2401</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2402</v>
      </c>
      <c r="B64" s="2522" t="str">
        <f>'预评函-3'!A13</f>
        <v>（3）。</v>
      </c>
    </row>
    <row r="65" spans="1:2">
      <c r="A65" s="2516" t="s">
        <v>2403</v>
      </c>
      <c r="B65" s="2523" t="str">
        <f>'预评函-3'!A14</f>
        <v>综上，本次评估不存在估价师知悉的法定优先受偿款</v>
      </c>
    </row>
    <row r="66" spans="1:2">
      <c r="A66" s="2516" t="s">
        <v>2404</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2405</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2408</v>
      </c>
      <c r="B68" s="2542">
        <f>'预评函-3'!D30</f>
        <v>42558</v>
      </c>
    </row>
    <row r="69" spans="1:2" ht="15" thickTop="1">
      <c r="A69" s="2527" t="s">
        <v>2406</v>
      </c>
      <c r="B69" s="2528" t="str">
        <f>'预评函-3'!A20</f>
        <v>吴薇</v>
      </c>
    </row>
    <row r="70" spans="1:2">
      <c r="A70" s="2516" t="s">
        <v>2406</v>
      </c>
      <c r="B70" s="2523">
        <f ca="1">'预评函-3'!B20</f>
        <v>2002110125</v>
      </c>
    </row>
    <row r="71" spans="1:2">
      <c r="A71" s="2516" t="s">
        <v>2407</v>
      </c>
      <c r="B71" s="2517" t="str">
        <f>'预评函-3'!A21</f>
        <v>崔锴</v>
      </c>
    </row>
    <row r="72" spans="1:2" s="2531" customFormat="1" ht="15" thickBot="1">
      <c r="A72" s="2538" t="s">
        <v>2407</v>
      </c>
      <c r="B72" s="2544">
        <f ca="1">'预评函-3'!B21</f>
        <v>2010110070</v>
      </c>
    </row>
    <row r="73" spans="1:2" ht="15" thickTop="1">
      <c r="A73" s="2527" t="s">
        <v>2466</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2467</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2468</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2502</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U31" sqref="U31"/>
    </sheetView>
  </sheetViews>
  <sheetFormatPr defaultColWidth="10" defaultRowHeight="14.25"/>
  <cols>
    <col min="1" max="1" width="15.375" style="1567" customWidth="1"/>
    <col min="2" max="2" width="11.375" style="1567" customWidth="1"/>
    <col min="3" max="3" width="12.625" style="1567" customWidth="1"/>
    <col min="4" max="4" width="10"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89" t="str">
        <f>IF(B10="北京市","北京市",C10)&amp;F10&amp;B16&amp;"国有建设用地使用权"&amp;B9&amp;"预评估"</f>
        <v>出让国有建设用地使用权抵押价格预评估</v>
      </c>
      <c r="C1" s="3590"/>
      <c r="D1" s="3590"/>
      <c r="E1" s="3590"/>
      <c r="F1" s="3590"/>
      <c r="G1" s="3590"/>
      <c r="H1" s="3590"/>
      <c r="I1" s="3591"/>
      <c r="J1" s="2981"/>
      <c r="K1" s="2263" t="str">
        <f>IF(B10="北京市","北京市",C10)&amp;F10&amp;B16&amp;"国有建设用地使用权"&amp;B9</f>
        <v>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出让国有建设用地使用权</v>
      </c>
      <c r="L2" s="2960"/>
      <c r="M2" s="2960"/>
      <c r="N2" s="2961"/>
      <c r="O2" s="2962"/>
      <c r="P2" s="2961"/>
      <c r="Q2" s="2961"/>
      <c r="R2" s="2961"/>
      <c r="S2" s="2961"/>
      <c r="T2" s="2961"/>
      <c r="U2" s="2961"/>
    </row>
    <row r="3" spans="1:21">
      <c r="A3" s="1542" t="s">
        <v>1731</v>
      </c>
      <c r="B3" s="1543">
        <v>44747</v>
      </c>
      <c r="C3" s="2904" t="s">
        <v>1787</v>
      </c>
      <c r="D3" s="1543">
        <f>B3</f>
        <v>44747</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3986</v>
      </c>
      <c r="C4" s="1713">
        <f ca="1">SUMIF(土地估价师,B4,估价师及机构信息!E3:E17)</f>
        <v>2002110125</v>
      </c>
      <c r="D4" s="1710" t="s">
        <v>3987</v>
      </c>
      <c r="E4" s="1713">
        <f ca="1">SUMIF(土地估价师,D4,估价师及机构信息!E3:E17)</f>
        <v>2010110070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吴薇、崔锴</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2422</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2423</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2686</v>
      </c>
      <c r="C8" s="1552"/>
      <c r="D8" s="3595" t="s">
        <v>1736</v>
      </c>
      <c r="E8" s="1711" t="s">
        <v>3118</v>
      </c>
      <c r="F8" s="1553"/>
      <c r="G8" s="2982"/>
      <c r="H8" s="2982"/>
      <c r="I8" s="2985"/>
      <c r="J8" s="2981"/>
      <c r="K8" s="2964"/>
      <c r="L8" s="2960"/>
      <c r="M8" s="2960"/>
      <c r="N8" s="2961"/>
      <c r="O8" s="2962"/>
      <c r="P8" s="2961"/>
      <c r="Q8" s="2961"/>
      <c r="R8" s="2961"/>
      <c r="S8" s="2961"/>
      <c r="T8" s="2961"/>
      <c r="U8" s="2961"/>
    </row>
    <row r="9" spans="1:21" ht="15" thickBot="1">
      <c r="A9" s="2906" t="s">
        <v>1735</v>
      </c>
      <c r="B9" s="1554" t="s">
        <v>3118</v>
      </c>
      <c r="C9" s="1555"/>
      <c r="D9" s="3596"/>
      <c r="E9" s="1554"/>
      <c r="F9" s="1618"/>
      <c r="G9" s="2986"/>
      <c r="H9" s="2986"/>
      <c r="I9" s="2987"/>
      <c r="J9" s="2981"/>
      <c r="K9" s="2964"/>
      <c r="L9" s="2960"/>
      <c r="M9" s="2960"/>
      <c r="N9" s="2961"/>
      <c r="O9" s="2962"/>
      <c r="P9" s="2961"/>
      <c r="Q9" s="2961"/>
      <c r="R9" s="2961"/>
      <c r="S9" s="2961"/>
      <c r="T9" s="2961"/>
      <c r="U9" s="2961"/>
    </row>
    <row r="10" spans="1:21" ht="15" thickTop="1">
      <c r="A10" s="2907" t="s">
        <v>1791</v>
      </c>
      <c r="B10" s="1594" t="s">
        <v>3117</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3116</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92"/>
      <c r="C12" s="3593"/>
      <c r="D12" s="3594"/>
      <c r="E12" s="1574" t="s">
        <v>1853</v>
      </c>
      <c r="F12" s="3610" t="s">
        <v>2600</v>
      </c>
      <c r="G12" s="3611"/>
      <c r="H12" s="3611"/>
      <c r="I12" s="3612"/>
      <c r="J12" s="2981"/>
      <c r="K12" s="2964"/>
      <c r="L12" s="2960"/>
      <c r="M12" s="2960"/>
      <c r="N12" s="2961"/>
      <c r="O12" s="2962"/>
      <c r="P12" s="2961"/>
      <c r="Q12" s="2961"/>
      <c r="R12" s="2961"/>
      <c r="S12" s="2961"/>
      <c r="T12" s="2961"/>
      <c r="U12" s="2961"/>
    </row>
    <row r="13" spans="1:21">
      <c r="A13" s="1565" t="s">
        <v>1851</v>
      </c>
      <c r="B13" s="3592"/>
      <c r="C13" s="3593"/>
      <c r="D13" s="3594"/>
      <c r="E13" s="1574" t="s">
        <v>1853</v>
      </c>
      <c r="F13" s="3610" t="s">
        <v>2601</v>
      </c>
      <c r="G13" s="3611"/>
      <c r="H13" s="3611"/>
      <c r="I13" s="3612"/>
      <c r="J13" s="2981"/>
      <c r="K13" s="2964"/>
      <c r="L13" s="2960"/>
      <c r="M13" s="2960"/>
      <c r="N13" s="2961"/>
      <c r="O13" s="2962"/>
      <c r="P13" s="2961"/>
      <c r="Q13" s="2961"/>
      <c r="R13" s="2961"/>
      <c r="S13" s="2961"/>
      <c r="T13" s="2961"/>
      <c r="U13" s="2961"/>
    </row>
    <row r="14" spans="1:21">
      <c r="A14" s="1542" t="s">
        <v>1854</v>
      </c>
      <c r="B14" s="1574"/>
      <c r="C14" s="1712"/>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42.75">
      <c r="A16" s="2909" t="s">
        <v>1739</v>
      </c>
      <c r="B16" s="1560" t="s">
        <v>3119</v>
      </c>
      <c r="C16" s="1574" t="s">
        <v>1740</v>
      </c>
      <c r="D16" s="2409" t="s">
        <v>1741</v>
      </c>
      <c r="E16" s="1597" t="s">
        <v>3120</v>
      </c>
      <c r="F16" s="1597" t="s">
        <v>1477</v>
      </c>
      <c r="G16" s="1597" t="s">
        <v>3121</v>
      </c>
      <c r="H16" s="1597"/>
      <c r="I16" s="1564" t="s">
        <v>1746</v>
      </c>
      <c r="J16" s="2981"/>
      <c r="K16" s="2264" t="str">
        <f>IF(D17="","",D16&amp;TEXT(D17,"yyyy年m月d日;;"))</f>
        <v>住宅2090年10月18日</v>
      </c>
      <c r="L16" s="1574" t="str">
        <f>IF(OR(K16="",M16=""),"","、")</f>
        <v>、</v>
      </c>
      <c r="M16" s="2264" t="str">
        <f>IF(E17="","",E16&amp;TEXT(E17,"yyyy年m月d日;;"))</f>
        <v>商业2060年10月18日</v>
      </c>
      <c r="N16" s="1574" t="str">
        <f>IF(OR(M16="",O16=""),"","、")</f>
        <v>、</v>
      </c>
      <c r="O16" s="2264" t="str">
        <f>IF(F17="","",F16&amp;TEXT(F17,"yyyy年m月d日;;"))</f>
        <v>办公2060年10月18日</v>
      </c>
      <c r="P16" s="1574" t="str">
        <f>IF(OR(O16="",Q16=""),"","、")</f>
        <v>、</v>
      </c>
      <c r="Q16" s="2264" t="str">
        <f>IF(G17="","",G16&amp;TEXT(G17,"yyyy年m月d日;;"))</f>
        <v>车库2060年10月18日</v>
      </c>
      <c r="R16" s="1574" t="str">
        <f>IF(OR(Q16="",S16=""),"","、")</f>
        <v/>
      </c>
      <c r="S16" s="2264" t="str">
        <f>IF(H17="","",H16&amp;TEXT(H17,"yyyy年m月d日;;"))</f>
        <v/>
      </c>
      <c r="T16" s="1574" t="str">
        <f>IF(OR(S16="",U16=""),"","、")</f>
        <v/>
      </c>
      <c r="U16" s="2264" t="str">
        <f>IF(I17="","",I16&amp;TEXT(I17,"yyyy年m月d日;;"))</f>
        <v/>
      </c>
    </row>
    <row r="17" spans="1:21">
      <c r="A17" s="1634"/>
      <c r="B17" s="1561"/>
      <c r="C17" s="2910" t="s">
        <v>1747</v>
      </c>
      <c r="D17" s="3453">
        <v>69689</v>
      </c>
      <c r="E17" s="3453">
        <v>58732</v>
      </c>
      <c r="F17" s="3453">
        <v>58732</v>
      </c>
      <c r="G17" s="3453">
        <v>58732</v>
      </c>
      <c r="H17" s="1575"/>
      <c r="I17" s="1575"/>
      <c r="J17" s="2981"/>
      <c r="K17" s="2959" t="str">
        <f>CONCATENATE(K16,L16,M16,N16,O16,P16,Q16,R16,S16,T16,,U16)</f>
        <v>住宅2090年10月18日、商业2060年10月18日、办公2060年10月18日、车库2060年10月18日</v>
      </c>
      <c r="L17" s="2960"/>
      <c r="M17" s="2960"/>
      <c r="N17" s="2961"/>
      <c r="O17" s="2962"/>
      <c r="P17" s="2961"/>
      <c r="Q17" s="2961"/>
      <c r="R17" s="2961"/>
      <c r="S17" s="2961"/>
      <c r="T17" s="2961"/>
      <c r="U17" s="2961"/>
    </row>
    <row r="18" spans="1:21">
      <c r="A18" s="1634"/>
      <c r="B18" s="1561"/>
      <c r="C18" s="2910" t="s">
        <v>1748</v>
      </c>
      <c r="D18" s="3454">
        <v>70</v>
      </c>
      <c r="E18" s="3454">
        <v>40</v>
      </c>
      <c r="F18" s="3454">
        <v>40</v>
      </c>
      <c r="G18" s="3454">
        <v>40</v>
      </c>
      <c r="H18" s="1562"/>
      <c r="I18" s="1562"/>
      <c r="J18" s="2981"/>
      <c r="K18" s="2964"/>
      <c r="L18" s="2960"/>
      <c r="M18" s="2960"/>
      <c r="N18" s="2961"/>
      <c r="O18" s="2962"/>
      <c r="P18" s="2961"/>
      <c r="Q18" s="2961"/>
      <c r="R18" s="2961"/>
      <c r="S18" s="2961"/>
      <c r="T18" s="2961"/>
      <c r="U18" s="2961"/>
    </row>
    <row r="19" spans="1:21">
      <c r="A19" s="1634"/>
      <c r="B19" s="1561"/>
      <c r="C19" s="1541" t="s">
        <v>1749</v>
      </c>
      <c r="D19" s="1629">
        <f>IF(B16="出让",IF(D17="","",ROUNDDOWN(MIN((D17-$D$3)/365,D18),2)),D18)</f>
        <v>68.33</v>
      </c>
      <c r="E19" s="1563">
        <f>IF(B16="出让",IF(E17="","",ROUNDDOWN(MIN((E17-$D$3)/365,E18),2)),E18)</f>
        <v>38.31</v>
      </c>
      <c r="F19" s="1563">
        <f>IF(B16="出让",IF(F17="","",ROUNDDOWN(MIN((F17-$D$3)/365,F18),2)),F18)</f>
        <v>38.31</v>
      </c>
      <c r="G19" s="1563">
        <f>IF(B16="出让",IF(G17="","",ROUNDDOWN(MIN((G17-$D$3)/365,G18),2)),G18)</f>
        <v>38.31</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607"/>
      <c r="E20" s="3608"/>
      <c r="F20" s="3608"/>
      <c r="G20" s="3608"/>
      <c r="H20" s="3608"/>
      <c r="I20" s="3609"/>
      <c r="J20" s="2981"/>
      <c r="K20" s="2964"/>
      <c r="L20" s="2960"/>
      <c r="M20" s="2960"/>
      <c r="N20" s="2961"/>
      <c r="O20" s="2962"/>
      <c r="P20" s="2961"/>
      <c r="Q20" s="2961"/>
      <c r="R20" s="2961"/>
      <c r="S20" s="2961"/>
      <c r="T20" s="2961"/>
      <c r="U20" s="2961"/>
    </row>
    <row r="21" spans="1:21">
      <c r="A21" s="1634" t="s">
        <v>1750</v>
      </c>
      <c r="B21" s="1635" t="s">
        <v>1751</v>
      </c>
      <c r="C21" s="1630">
        <f>'数据-汇总表'!E3</f>
        <v>225000.80999999997</v>
      </c>
      <c r="D21" s="1631" t="s">
        <v>1752</v>
      </c>
      <c r="E21" s="3597" t="s">
        <v>1790</v>
      </c>
      <c r="F21" s="3598"/>
      <c r="G21" s="3598"/>
      <c r="H21" s="3598"/>
      <c r="I21" s="3599"/>
      <c r="J21" s="2981"/>
      <c r="K21" s="2964"/>
      <c r="L21" s="2960"/>
      <c r="M21" s="2960"/>
      <c r="N21" s="2961"/>
      <c r="O21" s="2962"/>
      <c r="P21" s="2961"/>
      <c r="Q21" s="2961"/>
      <c r="R21" s="2961"/>
      <c r="S21" s="2961"/>
      <c r="T21" s="2961"/>
      <c r="U21" s="2961"/>
    </row>
    <row r="22" spans="1:21">
      <c r="A22" s="2719" t="s">
        <v>931</v>
      </c>
      <c r="B22" s="1542" t="s">
        <v>1753</v>
      </c>
      <c r="C22" s="1564">
        <f>'数据-汇总表'!D3</f>
        <v>64770.31</v>
      </c>
      <c r="D22" s="1565" t="s">
        <v>1752</v>
      </c>
      <c r="E22" s="3597" t="s">
        <v>2602</v>
      </c>
      <c r="F22" s="3598"/>
      <c r="G22" s="3598"/>
      <c r="H22" s="3598"/>
      <c r="I22" s="3599"/>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600" t="s">
        <v>1758</v>
      </c>
      <c r="C24" s="3601"/>
      <c r="D24" s="3602" t="s">
        <v>1759</v>
      </c>
      <c r="E24" s="3603"/>
      <c r="F24" s="1583" t="s">
        <v>1760</v>
      </c>
      <c r="G24" s="2981"/>
      <c r="H24" s="2981"/>
      <c r="I24" s="2985"/>
      <c r="J24" s="2981"/>
      <c r="K24" s="3588"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2114</v>
      </c>
      <c r="C25" s="1584" t="s">
        <v>1762</v>
      </c>
      <c r="D25" s="1585"/>
      <c r="E25" s="1586" t="s">
        <v>931</v>
      </c>
      <c r="F25" s="1587"/>
      <c r="G25" s="2981"/>
      <c r="H25" s="2981"/>
      <c r="I25" s="2985"/>
      <c r="J25" s="2981"/>
      <c r="K25" s="3588"/>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2115</v>
      </c>
      <c r="D26" s="2982"/>
      <c r="E26" s="2982"/>
      <c r="F26" s="2988"/>
      <c r="G26" s="2981"/>
      <c r="H26" s="2981"/>
      <c r="I26" s="2985"/>
      <c r="J26" s="2981"/>
      <c r="K26" s="3588"/>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574" t="s">
        <v>1793</v>
      </c>
      <c r="B31" s="1635" t="s">
        <v>1794</v>
      </c>
      <c r="C31" s="3613"/>
      <c r="D31" s="3614"/>
      <c r="E31" s="2981"/>
      <c r="F31" s="2981"/>
      <c r="G31" s="2981"/>
      <c r="H31" s="2981"/>
      <c r="I31" s="2985"/>
      <c r="J31" s="2981"/>
      <c r="K31" s="2967"/>
      <c r="L31" s="2961"/>
      <c r="M31" s="2961"/>
      <c r="N31" s="2961"/>
      <c r="O31" s="2961"/>
      <c r="P31" s="2961"/>
      <c r="Q31" s="2961"/>
      <c r="R31" s="2961"/>
      <c r="S31" s="2961"/>
      <c r="T31" s="2961"/>
      <c r="U31" s="2961"/>
    </row>
    <row r="32" spans="1:21">
      <c r="A32" s="3574"/>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74"/>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75"/>
      <c r="B34" s="1542" t="s">
        <v>1797</v>
      </c>
      <c r="C34" s="3576"/>
      <c r="D34" s="3577"/>
      <c r="E34" s="2981"/>
      <c r="F34" s="2981"/>
      <c r="G34" s="2981"/>
      <c r="H34" s="2981"/>
      <c r="I34" s="2985"/>
      <c r="J34" s="2981"/>
      <c r="K34" s="2967"/>
      <c r="L34" s="2961"/>
      <c r="M34" s="2961"/>
      <c r="N34" s="2961"/>
      <c r="O34" s="2961"/>
      <c r="P34" s="2961"/>
      <c r="Q34" s="2961"/>
      <c r="R34" s="2961"/>
      <c r="S34" s="2961"/>
      <c r="T34" s="2961"/>
      <c r="U34" s="2961"/>
    </row>
    <row r="35" spans="1:28">
      <c r="A35" s="3578" t="s">
        <v>827</v>
      </c>
      <c r="B35" s="1597"/>
      <c r="C35" s="1644" t="str">
        <f>IF(B35="场地平整","——","具体情况：")</f>
        <v>具体情况：</v>
      </c>
      <c r="D35" s="3580"/>
      <c r="E35" s="3581"/>
      <c r="F35" s="3581"/>
      <c r="G35" s="3581"/>
      <c r="H35" s="3581"/>
      <c r="I35" s="3582"/>
      <c r="J35" s="2981"/>
      <c r="K35" s="2968"/>
      <c r="L35" s="2960"/>
      <c r="M35" s="2960"/>
      <c r="N35" s="2961"/>
      <c r="O35" s="2962"/>
      <c r="P35" s="2961"/>
      <c r="Q35" s="2961"/>
      <c r="R35" s="2961"/>
      <c r="S35" s="2961"/>
      <c r="T35" s="2961"/>
      <c r="U35" s="2961"/>
    </row>
    <row r="36" spans="1:28">
      <c r="A36" s="3574"/>
      <c r="B36" s="3583" t="s">
        <v>1846</v>
      </c>
      <c r="C36" s="3584"/>
      <c r="D36" s="1660"/>
      <c r="E36" s="3585"/>
      <c r="F36" s="3585"/>
      <c r="G36" s="1565" t="str">
        <f>IF(B35="场地未平整","估价结果处理","")</f>
        <v/>
      </c>
      <c r="H36" s="3586"/>
      <c r="I36" s="3586"/>
      <c r="J36" s="2981"/>
      <c r="K36" s="2968"/>
      <c r="L36" s="2960"/>
      <c r="M36" s="2960"/>
      <c r="N36" s="2961"/>
      <c r="O36" s="2962"/>
      <c r="P36" s="2961"/>
      <c r="Q36" s="2961"/>
      <c r="R36" s="2961"/>
      <c r="S36" s="2961"/>
      <c r="T36" s="2961"/>
      <c r="U36" s="2961"/>
    </row>
    <row r="37" spans="1:28" ht="28.5">
      <c r="A37" s="3574"/>
      <c r="B37" s="3604"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74"/>
      <c r="B38" s="3605"/>
      <c r="C38" s="1550" t="s">
        <v>830</v>
      </c>
      <c r="D38" s="1659">
        <f>ROUNDDOWN(MIN(('数据-取费表'!$B$2-D37)/365,D34),1)</f>
        <v>122.5</v>
      </c>
      <c r="E38" s="1602" t="s">
        <v>831</v>
      </c>
      <c r="F38" s="2981"/>
      <c r="G38" s="2981"/>
      <c r="H38" s="2981"/>
      <c r="I38" s="2985"/>
      <c r="J38" s="2981"/>
      <c r="K38" s="2968"/>
      <c r="L38" s="2961"/>
      <c r="M38" s="2961"/>
      <c r="N38" s="2961"/>
      <c r="O38" s="2961"/>
      <c r="P38" s="2961"/>
      <c r="Q38" s="2961"/>
      <c r="R38" s="2961"/>
      <c r="S38" s="2961"/>
      <c r="T38" s="2961"/>
      <c r="U38" s="2961"/>
    </row>
    <row r="39" spans="1:28">
      <c r="A39" s="3575"/>
      <c r="B39" s="3606"/>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87" t="s">
        <v>1777</v>
      </c>
      <c r="T40" s="1606" t="str">
        <f>NUMBERSTRING(7-K40,1)&amp;"通"</f>
        <v>七通</v>
      </c>
      <c r="U40" s="2961"/>
    </row>
    <row r="41" spans="1:28">
      <c r="A41" s="1544"/>
      <c r="B41" s="3579" t="s">
        <v>1521</v>
      </c>
      <c r="C41" s="3579"/>
      <c r="D41" s="3579"/>
      <c r="E41" s="3579"/>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87"/>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2603</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M296"/>
  <sheetViews>
    <sheetView workbookViewId="0">
      <selection activeCell="V19" sqref="V19"/>
    </sheetView>
  </sheetViews>
  <sheetFormatPr defaultColWidth="9" defaultRowHeight="13.5"/>
  <cols>
    <col min="1" max="2" width="9" style="3456"/>
    <col min="3" max="3" width="11.125" style="3456" customWidth="1"/>
    <col min="4" max="8" width="9" style="3456"/>
    <col min="9" max="9" width="11.25" style="3456" customWidth="1"/>
    <col min="10" max="12" width="9" style="3456"/>
    <col min="13" max="13" width="11.625" style="3456" customWidth="1"/>
    <col min="14" max="14" width="9" style="3456"/>
    <col min="15" max="15" width="20.25" style="3462" customWidth="1"/>
    <col min="16" max="16" width="12.75" style="3462" customWidth="1"/>
    <col min="17" max="17" width="11.625" style="3462" customWidth="1"/>
    <col min="18" max="18" width="10.125" style="3462" bestFit="1" customWidth="1"/>
    <col min="19" max="26" width="9" style="3462"/>
    <col min="27" max="27" width="9.375" style="3462" bestFit="1" customWidth="1"/>
    <col min="28" max="28" width="10.25" style="3479" bestFit="1" customWidth="1"/>
    <col min="29" max="30" width="9" style="3462"/>
    <col min="31" max="31" width="9.625" style="3462" bestFit="1" customWidth="1"/>
    <col min="32" max="32" width="10.25" style="3480" bestFit="1" customWidth="1"/>
    <col min="33" max="33" width="9" style="3480"/>
    <col min="34" max="34" width="13.25" style="3483" customWidth="1"/>
    <col min="35" max="35" width="9.75" style="3478" customWidth="1"/>
    <col min="36" max="16384" width="9" style="3462"/>
  </cols>
  <sheetData>
    <row r="1" spans="1:39">
      <c r="A1" s="3455" t="s">
        <v>3125</v>
      </c>
      <c r="B1" s="3456" t="s">
        <v>3126</v>
      </c>
      <c r="C1" s="3457">
        <v>64770.31</v>
      </c>
      <c r="M1" s="3458" t="s">
        <v>3127</v>
      </c>
      <c r="N1" s="3459" t="s">
        <v>3128</v>
      </c>
      <c r="O1" s="3615" t="s">
        <v>3129</v>
      </c>
      <c r="P1" s="3616"/>
      <c r="Q1" s="3616"/>
      <c r="R1" s="3616"/>
      <c r="S1" s="3616"/>
      <c r="T1" s="3616"/>
      <c r="U1" s="3616"/>
      <c r="V1" s="3616"/>
      <c r="W1" s="3616"/>
      <c r="X1" s="3616"/>
      <c r="Y1" s="3616"/>
      <c r="Z1" s="3616"/>
      <c r="AA1" s="3616"/>
      <c r="AB1" s="3616"/>
      <c r="AC1" s="3616"/>
      <c r="AD1" s="3616"/>
      <c r="AE1" s="3616"/>
      <c r="AF1" s="3616"/>
      <c r="AG1" s="3616"/>
      <c r="AH1" s="3617"/>
      <c r="AI1" s="3456"/>
      <c r="AJ1" s="3460" t="s">
        <v>3130</v>
      </c>
      <c r="AK1" s="3460" t="s">
        <v>3131</v>
      </c>
      <c r="AL1" s="3461" t="s">
        <v>3132</v>
      </c>
      <c r="AM1" s="3460" t="s">
        <v>3133</v>
      </c>
    </row>
    <row r="2" spans="1:39">
      <c r="A2" s="3456" t="s">
        <v>3134</v>
      </c>
      <c r="N2" s="3618" t="s">
        <v>3135</v>
      </c>
      <c r="O2" s="3619" t="s">
        <v>3136</v>
      </c>
      <c r="P2" s="3618" t="s">
        <v>3137</v>
      </c>
      <c r="Q2" s="3618" t="s">
        <v>3138</v>
      </c>
      <c r="R2" s="3620" t="s">
        <v>3139</v>
      </c>
      <c r="S2" s="3618" t="s">
        <v>3140</v>
      </c>
      <c r="T2" s="3618"/>
      <c r="U2" s="3618"/>
      <c r="V2" s="3618"/>
      <c r="W2" s="3618"/>
      <c r="X2" s="3618"/>
      <c r="Y2" s="3618"/>
      <c r="Z2" s="3618"/>
      <c r="AA2" s="3618"/>
      <c r="AB2" s="3618" t="s">
        <v>3141</v>
      </c>
      <c r="AC2" s="3618" t="s">
        <v>3142</v>
      </c>
      <c r="AD2" s="3618"/>
      <c r="AE2" s="3618" t="s">
        <v>3141</v>
      </c>
      <c r="AF2" s="3621" t="s">
        <v>3143</v>
      </c>
      <c r="AG2" s="3618" t="s">
        <v>3144</v>
      </c>
      <c r="AH2" s="3622" t="s">
        <v>3145</v>
      </c>
      <c r="AI2" s="3456"/>
      <c r="AJ2" s="3464" t="s">
        <v>3146</v>
      </c>
      <c r="AK2" s="3465">
        <v>503</v>
      </c>
      <c r="AL2" s="3466">
        <v>88.24</v>
      </c>
      <c r="AM2" s="3467">
        <v>64.03</v>
      </c>
    </row>
    <row r="3" spans="1:39">
      <c r="B3" s="3456" t="s">
        <v>3140</v>
      </c>
      <c r="D3" s="3456" t="s">
        <v>3141</v>
      </c>
      <c r="E3" s="3456" t="s">
        <v>3142</v>
      </c>
      <c r="H3" s="3456" t="s">
        <v>3141</v>
      </c>
      <c r="I3" s="3456" t="s">
        <v>3143</v>
      </c>
      <c r="K3" s="3462"/>
      <c r="L3" s="3462"/>
      <c r="M3" s="3462"/>
      <c r="N3" s="3618"/>
      <c r="O3" s="3619"/>
      <c r="P3" s="3618"/>
      <c r="Q3" s="3618"/>
      <c r="R3" s="3620"/>
      <c r="S3" s="3618" t="s">
        <v>3147</v>
      </c>
      <c r="T3" s="3618"/>
      <c r="U3" s="3618"/>
      <c r="V3" s="3618"/>
      <c r="W3" s="3618"/>
      <c r="X3" s="3618"/>
      <c r="Y3" s="3618"/>
      <c r="Z3" s="3618" t="s">
        <v>3148</v>
      </c>
      <c r="AA3" s="3618"/>
      <c r="AB3" s="3618"/>
      <c r="AC3" s="3468" t="s">
        <v>3147</v>
      </c>
      <c r="AD3" s="3468" t="s">
        <v>3148</v>
      </c>
      <c r="AE3" s="3618"/>
      <c r="AF3" s="3621"/>
      <c r="AG3" s="3618"/>
      <c r="AH3" s="3623"/>
      <c r="AI3" s="3456"/>
      <c r="AJ3" s="3464" t="s">
        <v>3149</v>
      </c>
      <c r="AK3" s="3465">
        <v>101</v>
      </c>
      <c r="AL3" s="3466">
        <v>134.22</v>
      </c>
      <c r="AM3" s="3467">
        <v>102.5</v>
      </c>
    </row>
    <row r="4" spans="1:39">
      <c r="B4" s="3456" t="s">
        <v>3147</v>
      </c>
      <c r="C4" s="3456" t="s">
        <v>3148</v>
      </c>
      <c r="E4" s="3456" t="s">
        <v>3147</v>
      </c>
      <c r="F4" s="3456" t="s">
        <v>3147</v>
      </c>
      <c r="G4" s="3456" t="s">
        <v>3148</v>
      </c>
      <c r="J4" s="3456" t="s">
        <v>3150</v>
      </c>
      <c r="K4" s="3462"/>
      <c r="L4" s="3462"/>
      <c r="M4" s="3462"/>
      <c r="N4" s="3618"/>
      <c r="O4" s="3619"/>
      <c r="P4" s="3618"/>
      <c r="Q4" s="3618"/>
      <c r="R4" s="3620"/>
      <c r="S4" s="3468" t="s">
        <v>3151</v>
      </c>
      <c r="T4" s="3468" t="s">
        <v>3152</v>
      </c>
      <c r="U4" s="3468" t="s">
        <v>3153</v>
      </c>
      <c r="V4" s="3468" t="s">
        <v>3154</v>
      </c>
      <c r="W4" s="3468" t="s">
        <v>3155</v>
      </c>
      <c r="X4" s="3468" t="s">
        <v>3156</v>
      </c>
      <c r="Y4" s="3468" t="s">
        <v>3157</v>
      </c>
      <c r="Z4" s="3468" t="s">
        <v>3154</v>
      </c>
      <c r="AA4" s="3468" t="s">
        <v>3158</v>
      </c>
      <c r="AB4" s="3618"/>
      <c r="AC4" s="3468" t="s">
        <v>3159</v>
      </c>
      <c r="AD4" s="3468" t="s">
        <v>3159</v>
      </c>
      <c r="AE4" s="3618"/>
      <c r="AF4" s="3621"/>
      <c r="AG4" s="3618"/>
      <c r="AH4" s="3624"/>
      <c r="AI4" s="3456" t="s">
        <v>3160</v>
      </c>
      <c r="AJ4" s="3464" t="s">
        <v>3149</v>
      </c>
      <c r="AK4" s="3465">
        <v>104</v>
      </c>
      <c r="AL4" s="3466">
        <v>134.22</v>
      </c>
      <c r="AM4" s="3467">
        <v>102.5</v>
      </c>
    </row>
    <row r="5" spans="1:39" ht="60">
      <c r="B5" s="3456" t="s">
        <v>3161</v>
      </c>
      <c r="C5" s="3456" t="s">
        <v>3158</v>
      </c>
      <c r="E5" s="3456" t="s">
        <v>3162</v>
      </c>
      <c r="F5" s="3456" t="s">
        <v>3159</v>
      </c>
      <c r="G5" s="3456" t="s">
        <v>3159</v>
      </c>
      <c r="K5" s="3462"/>
      <c r="L5" s="3462"/>
      <c r="M5" s="3462"/>
      <c r="N5" s="3468" t="s">
        <v>3163</v>
      </c>
      <c r="O5" s="3469" t="s">
        <v>3164</v>
      </c>
      <c r="P5" s="3468">
        <f>C1</f>
        <v>64770.31</v>
      </c>
      <c r="Q5" s="3469" t="s">
        <v>3165</v>
      </c>
      <c r="R5" s="3459" t="s">
        <v>3166</v>
      </c>
      <c r="S5" s="3468">
        <f>B36</f>
        <v>158548.07999999999</v>
      </c>
      <c r="T5" s="3459">
        <v>0</v>
      </c>
      <c r="U5" s="3459">
        <v>0</v>
      </c>
      <c r="V5" s="3459">
        <v>0</v>
      </c>
      <c r="W5" s="3459">
        <v>0</v>
      </c>
      <c r="X5" s="3459">
        <v>0</v>
      </c>
      <c r="Y5" s="3468">
        <f>C36</f>
        <v>937.37</v>
      </c>
      <c r="Z5" s="3459">
        <v>0</v>
      </c>
      <c r="AA5" s="3468">
        <f>D36</f>
        <v>62819.43</v>
      </c>
      <c r="AB5" s="3468">
        <f>SUM(S5:AA5)</f>
        <v>222304.87999999998</v>
      </c>
      <c r="AC5" s="3468">
        <f>F36</f>
        <v>2437</v>
      </c>
      <c r="AD5" s="3468">
        <f>G36</f>
        <v>258.93</v>
      </c>
      <c r="AE5" s="3470">
        <f>AC5+AD5</f>
        <v>2695.93</v>
      </c>
      <c r="AF5" s="3471">
        <f>AE5+AB5</f>
        <v>225000.80999999997</v>
      </c>
      <c r="AG5" s="3468">
        <f>J36</f>
        <v>1760</v>
      </c>
      <c r="AH5" s="3459" t="s">
        <v>3167</v>
      </c>
      <c r="AI5" s="3472">
        <v>0</v>
      </c>
      <c r="AJ5" s="3464" t="s">
        <v>3149</v>
      </c>
      <c r="AK5" s="3465">
        <v>201</v>
      </c>
      <c r="AL5" s="3466">
        <v>134.22</v>
      </c>
      <c r="AM5" s="3467">
        <v>102.5</v>
      </c>
    </row>
    <row r="6" spans="1:39" ht="60">
      <c r="A6" s="3456" t="s">
        <v>3168</v>
      </c>
      <c r="B6" s="3456">
        <v>12837.93</v>
      </c>
      <c r="D6" s="3456">
        <f t="shared" ref="D6:D29" si="0">SUM(B6:C6)</f>
        <v>12837.93</v>
      </c>
      <c r="F6" s="3456">
        <f>582.71+538.44</f>
        <v>1121.1500000000001</v>
      </c>
      <c r="G6" s="3456">
        <v>674</v>
      </c>
      <c r="H6" s="3456">
        <f>SUM(E6:G6)</f>
        <v>1795.15</v>
      </c>
      <c r="I6" s="3456">
        <f>H6+D6</f>
        <v>14633.08</v>
      </c>
      <c r="J6" s="3456" t="s">
        <v>3169</v>
      </c>
      <c r="K6" s="3462"/>
      <c r="L6" s="3462"/>
      <c r="M6" s="3462"/>
      <c r="N6" s="3468" t="s">
        <v>3170</v>
      </c>
      <c r="O6" s="3469" t="s">
        <v>3171</v>
      </c>
      <c r="P6" s="3468">
        <f>C38</f>
        <v>51144.97</v>
      </c>
      <c r="Q6" s="3469" t="s">
        <v>3165</v>
      </c>
      <c r="R6" s="3459" t="s">
        <v>3166</v>
      </c>
      <c r="S6" s="3459">
        <v>0</v>
      </c>
      <c r="T6" s="3459">
        <v>0</v>
      </c>
      <c r="U6" s="3468">
        <f t="shared" ref="U6:AA6" si="1">B52</f>
        <v>61366.87</v>
      </c>
      <c r="V6" s="3468">
        <f t="shared" si="1"/>
        <v>59090.52</v>
      </c>
      <c r="W6" s="3468">
        <f t="shared" si="1"/>
        <v>10614.69</v>
      </c>
      <c r="X6" s="3468">
        <f t="shared" si="1"/>
        <v>64550.51</v>
      </c>
      <c r="Y6" s="3468">
        <f t="shared" si="1"/>
        <v>3708.97</v>
      </c>
      <c r="Z6" s="3468">
        <f t="shared" si="1"/>
        <v>9000.11</v>
      </c>
      <c r="AA6" s="3468">
        <f t="shared" si="1"/>
        <v>46804.149999999994</v>
      </c>
      <c r="AB6" s="3468">
        <f>SUM(S6:AA6)</f>
        <v>255135.81999999998</v>
      </c>
      <c r="AC6" s="3468">
        <f>J52</f>
        <v>5720.0399999999991</v>
      </c>
      <c r="AD6" s="3468">
        <f>K52</f>
        <v>12997.6</v>
      </c>
      <c r="AE6" s="3470">
        <f>AC6+AD6</f>
        <v>18717.64</v>
      </c>
      <c r="AF6" s="3470">
        <f>AE6+AB6</f>
        <v>273853.45999999996</v>
      </c>
      <c r="AG6" s="3468">
        <f>N53</f>
        <v>1918</v>
      </c>
      <c r="AH6" s="3459" t="s">
        <v>3172</v>
      </c>
      <c r="AI6" s="3472">
        <v>0</v>
      </c>
      <c r="AJ6" s="3464" t="s">
        <v>3149</v>
      </c>
      <c r="AK6" s="3465">
        <v>204</v>
      </c>
      <c r="AL6" s="3466">
        <v>134.22</v>
      </c>
      <c r="AM6" s="3467">
        <v>102.5</v>
      </c>
    </row>
    <row r="7" spans="1:39" ht="13.5" customHeight="1">
      <c r="A7" s="3456" t="s">
        <v>3173</v>
      </c>
      <c r="B7" s="3456">
        <v>10222.24</v>
      </c>
      <c r="D7" s="3456">
        <f t="shared" si="0"/>
        <v>10222.24</v>
      </c>
      <c r="G7" s="3456">
        <v>318.47000000000003</v>
      </c>
      <c r="H7" s="3456">
        <f t="shared" ref="H7:H29" si="2">SUM(E7:G7)</f>
        <v>318.47000000000003</v>
      </c>
      <c r="I7" s="3456">
        <f t="shared" ref="I7:I29" si="3">H7+D7</f>
        <v>10540.71</v>
      </c>
      <c r="J7" s="3456" t="s">
        <v>3174</v>
      </c>
      <c r="K7" s="3462"/>
      <c r="L7" s="3462"/>
      <c r="M7" s="3462"/>
      <c r="N7" s="3622" t="s">
        <v>3175</v>
      </c>
      <c r="O7" s="3628" t="s">
        <v>3176</v>
      </c>
      <c r="P7" s="3622">
        <f>M84</f>
        <v>11313.21</v>
      </c>
      <c r="Q7" s="3625" t="s">
        <v>3177</v>
      </c>
      <c r="R7" s="3459" t="s">
        <v>3178</v>
      </c>
      <c r="S7" s="3459" t="s">
        <v>3166</v>
      </c>
      <c r="T7" s="3459" t="s">
        <v>3166</v>
      </c>
      <c r="U7" s="3459" t="s">
        <v>3166</v>
      </c>
      <c r="V7" s="3459" t="s">
        <v>3166</v>
      </c>
      <c r="W7" s="3459" t="s">
        <v>3166</v>
      </c>
      <c r="X7" s="3459" t="s">
        <v>3166</v>
      </c>
      <c r="Y7" s="3459">
        <f>C61</f>
        <v>476.53999999999996</v>
      </c>
      <c r="Z7" s="3459" t="s">
        <v>3166</v>
      </c>
      <c r="AA7" s="3459" t="s">
        <v>3166</v>
      </c>
      <c r="AB7" s="3468">
        <f>SUM(S7:AA7)</f>
        <v>476.53999999999996</v>
      </c>
      <c r="AC7" s="3459"/>
      <c r="AD7" s="3459">
        <v>0</v>
      </c>
      <c r="AE7" s="3470">
        <f t="shared" ref="AE7:AE16" si="4">AC7+AD7</f>
        <v>0</v>
      </c>
      <c r="AF7" s="3470">
        <f>AE7+AB7</f>
        <v>476.53999999999996</v>
      </c>
      <c r="AG7" s="3622">
        <f>I84</f>
        <v>1249</v>
      </c>
      <c r="AH7" s="3625" t="s">
        <v>3179</v>
      </c>
      <c r="AI7" s="3472">
        <v>0.5</v>
      </c>
      <c r="AJ7" s="3464" t="s">
        <v>3149</v>
      </c>
      <c r="AK7" s="3465">
        <v>304</v>
      </c>
      <c r="AL7" s="3466">
        <v>134.22</v>
      </c>
      <c r="AM7" s="3467">
        <v>102.5</v>
      </c>
    </row>
    <row r="8" spans="1:39">
      <c r="A8" s="3456" t="s">
        <v>3180</v>
      </c>
      <c r="B8" s="3456">
        <v>9791.7800000000007</v>
      </c>
      <c r="D8" s="3456">
        <f t="shared" si="0"/>
        <v>9791.7800000000007</v>
      </c>
      <c r="F8" s="3456">
        <v>437.06</v>
      </c>
      <c r="G8" s="3456">
        <v>558.04</v>
      </c>
      <c r="H8" s="3456">
        <f t="shared" si="2"/>
        <v>995.09999999999991</v>
      </c>
      <c r="I8" s="3456">
        <f t="shared" si="3"/>
        <v>10786.880000000001</v>
      </c>
      <c r="J8" s="3456" t="s">
        <v>3181</v>
      </c>
      <c r="K8" s="3462"/>
      <c r="L8" s="3462"/>
      <c r="M8" s="3462"/>
      <c r="N8" s="3623"/>
      <c r="O8" s="3629"/>
      <c r="P8" s="3623"/>
      <c r="Q8" s="3626"/>
      <c r="R8" s="3459" t="s">
        <v>3182</v>
      </c>
      <c r="S8" s="3473">
        <f>AL2</f>
        <v>88.24</v>
      </c>
      <c r="T8" s="3459" t="s">
        <v>3166</v>
      </c>
      <c r="U8" s="3459" t="s">
        <v>3166</v>
      </c>
      <c r="V8" s="3459" t="s">
        <v>3166</v>
      </c>
      <c r="W8" s="3459" t="s">
        <v>3166</v>
      </c>
      <c r="X8" s="3459" t="s">
        <v>3166</v>
      </c>
      <c r="Y8" s="3459">
        <f>C62</f>
        <v>273.64999999999998</v>
      </c>
      <c r="Z8" s="3459" t="s">
        <v>3166</v>
      </c>
      <c r="AA8" s="3459" t="s">
        <v>3166</v>
      </c>
      <c r="AB8" s="3468">
        <f t="shared" ref="AB8:AB15" si="5">SUM(S8:AA8)</f>
        <v>361.89</v>
      </c>
      <c r="AC8" s="3459"/>
      <c r="AD8" s="3459">
        <v>0</v>
      </c>
      <c r="AE8" s="3470">
        <f t="shared" si="4"/>
        <v>0</v>
      </c>
      <c r="AF8" s="3470">
        <f t="shared" ref="AF8:AF16" si="6">AE8+AB8</f>
        <v>361.89</v>
      </c>
      <c r="AG8" s="3623"/>
      <c r="AH8" s="3626"/>
      <c r="AI8" s="3472">
        <v>0.5</v>
      </c>
      <c r="AJ8" s="3464" t="s">
        <v>3149</v>
      </c>
      <c r="AK8" s="3465">
        <v>404</v>
      </c>
      <c r="AL8" s="3466">
        <v>134.22</v>
      </c>
      <c r="AM8" s="3467">
        <v>102.5</v>
      </c>
    </row>
    <row r="9" spans="1:39">
      <c r="K9" s="3462"/>
      <c r="L9" s="3462"/>
      <c r="M9" s="3462"/>
      <c r="N9" s="3623"/>
      <c r="O9" s="3629"/>
      <c r="P9" s="3623"/>
      <c r="Q9" s="3626"/>
      <c r="R9" s="3459" t="s">
        <v>3183</v>
      </c>
      <c r="S9" s="3473" t="s">
        <v>3166</v>
      </c>
      <c r="T9" s="3459" t="s">
        <v>3166</v>
      </c>
      <c r="U9" s="3459" t="s">
        <v>3166</v>
      </c>
      <c r="V9" s="3459" t="s">
        <v>3166</v>
      </c>
      <c r="W9" s="3459" t="s">
        <v>3166</v>
      </c>
      <c r="X9" s="3459" t="s">
        <v>3166</v>
      </c>
      <c r="Y9" s="3459" t="s">
        <v>3166</v>
      </c>
      <c r="Z9" s="3459" t="s">
        <v>3166</v>
      </c>
      <c r="AA9" s="3459" t="s">
        <v>3166</v>
      </c>
      <c r="AB9" s="3468">
        <f t="shared" si="5"/>
        <v>0</v>
      </c>
      <c r="AC9" s="3459"/>
      <c r="AD9" s="3459">
        <v>0</v>
      </c>
      <c r="AE9" s="3470">
        <f t="shared" si="4"/>
        <v>0</v>
      </c>
      <c r="AF9" s="3470">
        <f t="shared" si="6"/>
        <v>0</v>
      </c>
      <c r="AG9" s="3623"/>
      <c r="AH9" s="3626"/>
      <c r="AI9" s="3472">
        <v>0.5</v>
      </c>
      <c r="AJ9" s="3464" t="s">
        <v>3149</v>
      </c>
      <c r="AK9" s="3465">
        <v>1404</v>
      </c>
      <c r="AL9" s="3466">
        <v>134.22</v>
      </c>
      <c r="AM9" s="3467">
        <v>102.5</v>
      </c>
    </row>
    <row r="10" spans="1:39">
      <c r="A10" s="3456" t="s">
        <v>3184</v>
      </c>
      <c r="B10" s="3456">
        <v>10221.65</v>
      </c>
      <c r="D10" s="3456">
        <f t="shared" si="0"/>
        <v>10221.65</v>
      </c>
      <c r="G10" s="3456">
        <v>577.44000000000005</v>
      </c>
      <c r="H10" s="3456">
        <f t="shared" si="2"/>
        <v>577.44000000000005</v>
      </c>
      <c r="I10" s="3456">
        <f t="shared" si="3"/>
        <v>10799.09</v>
      </c>
      <c r="J10" s="3456" t="s">
        <v>3181</v>
      </c>
      <c r="K10" s="3462"/>
      <c r="L10" s="3462"/>
      <c r="M10" s="3462"/>
      <c r="N10" s="3623"/>
      <c r="O10" s="3629"/>
      <c r="P10" s="3623"/>
      <c r="Q10" s="3626"/>
      <c r="R10" s="3459" t="s">
        <v>3185</v>
      </c>
      <c r="S10" s="3473">
        <f>SUM(AL3:AL15)</f>
        <v>1744.8600000000001</v>
      </c>
      <c r="T10" s="3459" t="s">
        <v>3166</v>
      </c>
      <c r="U10" s="3459" t="s">
        <v>3166</v>
      </c>
      <c r="V10" s="3459" t="s">
        <v>3166</v>
      </c>
      <c r="W10" s="3459" t="s">
        <v>3166</v>
      </c>
      <c r="X10" s="3459" t="s">
        <v>3166</v>
      </c>
      <c r="Y10" s="3459" t="s">
        <v>3166</v>
      </c>
      <c r="Z10" s="3459" t="s">
        <v>3166</v>
      </c>
      <c r="AA10" s="3459" t="s">
        <v>3166</v>
      </c>
      <c r="AB10" s="3468">
        <f t="shared" si="5"/>
        <v>1744.8600000000001</v>
      </c>
      <c r="AC10" s="3459"/>
      <c r="AD10" s="3459">
        <v>0</v>
      </c>
      <c r="AE10" s="3470">
        <f t="shared" si="4"/>
        <v>0</v>
      </c>
      <c r="AF10" s="3470">
        <f t="shared" si="6"/>
        <v>1744.8600000000001</v>
      </c>
      <c r="AG10" s="3623"/>
      <c r="AH10" s="3626"/>
      <c r="AI10" s="3472">
        <v>0.5</v>
      </c>
      <c r="AJ10" s="3464" t="s">
        <v>3149</v>
      </c>
      <c r="AK10" s="3465">
        <v>1804</v>
      </c>
      <c r="AL10" s="3466">
        <v>134.22</v>
      </c>
      <c r="AM10" s="3467">
        <v>102.5</v>
      </c>
    </row>
    <row r="11" spans="1:39">
      <c r="A11" s="3456" t="s">
        <v>3186</v>
      </c>
      <c r="B11" s="3456">
        <v>10946.44</v>
      </c>
      <c r="D11" s="3456">
        <f t="shared" si="0"/>
        <v>10946.44</v>
      </c>
      <c r="G11" s="3456">
        <v>532.54</v>
      </c>
      <c r="H11" s="3456">
        <f t="shared" si="2"/>
        <v>532.54</v>
      </c>
      <c r="I11" s="3456">
        <f t="shared" si="3"/>
        <v>11478.98</v>
      </c>
      <c r="J11" s="3456" t="s">
        <v>3181</v>
      </c>
      <c r="K11" s="3462"/>
      <c r="L11" s="3462"/>
      <c r="M11" s="3462"/>
      <c r="N11" s="3623"/>
      <c r="O11" s="3629"/>
      <c r="P11" s="3623"/>
      <c r="Q11" s="3626"/>
      <c r="R11" s="3459" t="s">
        <v>3187</v>
      </c>
      <c r="S11" s="3473">
        <f>SUM(AL16:AL34)</f>
        <v>2550.1800000000189</v>
      </c>
      <c r="T11" s="3459" t="s">
        <v>3166</v>
      </c>
      <c r="U11" s="3459" t="s">
        <v>3166</v>
      </c>
      <c r="V11" s="3459" t="s">
        <v>3166</v>
      </c>
      <c r="W11" s="3459" t="s">
        <v>3166</v>
      </c>
      <c r="X11" s="3459" t="s">
        <v>3166</v>
      </c>
      <c r="Y11" s="3459" t="s">
        <v>3166</v>
      </c>
      <c r="Z11" s="3459" t="s">
        <v>3166</v>
      </c>
      <c r="AA11" s="3459" t="s">
        <v>3166</v>
      </c>
      <c r="AB11" s="3468">
        <f t="shared" si="5"/>
        <v>2550.1800000000189</v>
      </c>
      <c r="AC11" s="3459"/>
      <c r="AD11" s="3459">
        <v>0</v>
      </c>
      <c r="AE11" s="3470">
        <f t="shared" si="4"/>
        <v>0</v>
      </c>
      <c r="AF11" s="3470">
        <f t="shared" si="6"/>
        <v>2550.1800000000189</v>
      </c>
      <c r="AG11" s="3623"/>
      <c r="AH11" s="3626"/>
      <c r="AI11" s="3472">
        <v>0.5</v>
      </c>
      <c r="AJ11" s="3464" t="s">
        <v>3149</v>
      </c>
      <c r="AK11" s="3465">
        <v>2104</v>
      </c>
      <c r="AL11" s="3466">
        <v>134.22</v>
      </c>
      <c r="AM11" s="3467">
        <v>102.5</v>
      </c>
    </row>
    <row r="12" spans="1:39">
      <c r="A12" s="3456" t="s">
        <v>3188</v>
      </c>
      <c r="B12" s="3456">
        <v>11746.72</v>
      </c>
      <c r="D12" s="3456">
        <f t="shared" si="0"/>
        <v>11746.72</v>
      </c>
      <c r="G12" s="3456">
        <v>470.27</v>
      </c>
      <c r="H12" s="3456">
        <f t="shared" si="2"/>
        <v>470.27</v>
      </c>
      <c r="I12" s="3456">
        <f t="shared" si="3"/>
        <v>12216.99</v>
      </c>
      <c r="J12" s="3456" t="s">
        <v>3181</v>
      </c>
      <c r="K12" s="3462"/>
      <c r="L12" s="3462"/>
      <c r="M12" s="3462"/>
      <c r="N12" s="3623"/>
      <c r="O12" s="3629"/>
      <c r="P12" s="3623"/>
      <c r="Q12" s="3626"/>
      <c r="R12" s="3459" t="s">
        <v>3189</v>
      </c>
      <c r="S12" s="3473">
        <f>SUM(AL61:AL125)</f>
        <v>6587.0500000000056</v>
      </c>
      <c r="T12" s="3459" t="s">
        <v>3166</v>
      </c>
      <c r="U12" s="3459" t="s">
        <v>3166</v>
      </c>
      <c r="V12" s="3459" t="s">
        <v>3166</v>
      </c>
      <c r="W12" s="3459" t="s">
        <v>3166</v>
      </c>
      <c r="X12" s="3459" t="s">
        <v>3166</v>
      </c>
      <c r="Y12" s="3459" t="s">
        <v>3166</v>
      </c>
      <c r="Z12" s="3459" t="s">
        <v>3166</v>
      </c>
      <c r="AA12" s="3459" t="s">
        <v>3166</v>
      </c>
      <c r="AB12" s="3468">
        <f t="shared" si="5"/>
        <v>6587.0500000000056</v>
      </c>
      <c r="AC12" s="3459"/>
      <c r="AD12" s="3459">
        <v>0</v>
      </c>
      <c r="AE12" s="3470">
        <f t="shared" si="4"/>
        <v>0</v>
      </c>
      <c r="AF12" s="3470">
        <f t="shared" si="6"/>
        <v>6587.0500000000056</v>
      </c>
      <c r="AG12" s="3623"/>
      <c r="AH12" s="3626"/>
      <c r="AI12" s="3472">
        <v>0.5</v>
      </c>
      <c r="AJ12" s="3464" t="s">
        <v>3149</v>
      </c>
      <c r="AK12" s="3465">
        <v>2204</v>
      </c>
      <c r="AL12" s="3466">
        <v>134.22</v>
      </c>
      <c r="AM12" s="3467">
        <v>102.5</v>
      </c>
    </row>
    <row r="13" spans="1:39">
      <c r="A13" s="3456" t="s">
        <v>3190</v>
      </c>
      <c r="B13" s="3456">
        <v>10948.99</v>
      </c>
      <c r="D13" s="3456">
        <f t="shared" si="0"/>
        <v>10948.99</v>
      </c>
      <c r="G13" s="3456">
        <v>830.91</v>
      </c>
      <c r="H13" s="3456">
        <f t="shared" si="2"/>
        <v>830.91</v>
      </c>
      <c r="I13" s="3456">
        <f t="shared" si="3"/>
        <v>11779.9</v>
      </c>
      <c r="J13" s="3456" t="s">
        <v>3181</v>
      </c>
      <c r="K13" s="3462"/>
      <c r="L13" s="3462"/>
      <c r="M13" s="3462"/>
      <c r="N13" s="3623"/>
      <c r="O13" s="3629"/>
      <c r="P13" s="3623"/>
      <c r="Q13" s="3626"/>
      <c r="R13" s="3468" t="s">
        <v>3191</v>
      </c>
      <c r="S13" s="3473">
        <f>SUM(AL126:AL192)</f>
        <v>6586.1700000000073</v>
      </c>
      <c r="T13" s="3459" t="s">
        <v>3166</v>
      </c>
      <c r="U13" s="3459" t="s">
        <v>3166</v>
      </c>
      <c r="V13" s="3459" t="s">
        <v>3166</v>
      </c>
      <c r="W13" s="3459" t="s">
        <v>3166</v>
      </c>
      <c r="X13" s="3459" t="s">
        <v>3166</v>
      </c>
      <c r="Y13" s="3459" t="s">
        <v>3166</v>
      </c>
      <c r="Z13" s="3459" t="s">
        <v>3166</v>
      </c>
      <c r="AA13" s="3459" t="s">
        <v>3166</v>
      </c>
      <c r="AB13" s="3468">
        <f t="shared" si="5"/>
        <v>6586.1700000000073</v>
      </c>
      <c r="AC13" s="3459"/>
      <c r="AD13" s="3459">
        <v>0</v>
      </c>
      <c r="AE13" s="3470">
        <f t="shared" si="4"/>
        <v>0</v>
      </c>
      <c r="AF13" s="3470">
        <f t="shared" si="6"/>
        <v>6586.1700000000073</v>
      </c>
      <c r="AG13" s="3623"/>
      <c r="AH13" s="3626"/>
      <c r="AI13" s="3472">
        <v>0.5</v>
      </c>
      <c r="AJ13" s="3464" t="s">
        <v>3149</v>
      </c>
      <c r="AK13" s="3465">
        <v>2304</v>
      </c>
      <c r="AL13" s="3466">
        <v>134.22</v>
      </c>
      <c r="AM13" s="3467">
        <v>102.5</v>
      </c>
    </row>
    <row r="14" spans="1:39">
      <c r="A14" s="3456" t="s">
        <v>3192</v>
      </c>
      <c r="B14" s="3456">
        <v>10945.43</v>
      </c>
      <c r="D14" s="3456">
        <f t="shared" si="0"/>
        <v>10945.43</v>
      </c>
      <c r="G14" s="3456">
        <v>355.39</v>
      </c>
      <c r="H14" s="3456">
        <f t="shared" si="2"/>
        <v>355.39</v>
      </c>
      <c r="I14" s="3456">
        <f t="shared" si="3"/>
        <v>11300.82</v>
      </c>
      <c r="J14" s="3456" t="s">
        <v>3181</v>
      </c>
      <c r="K14" s="3462"/>
      <c r="L14" s="3462"/>
      <c r="M14" s="3462"/>
      <c r="N14" s="3623"/>
      <c r="O14" s="3629"/>
      <c r="P14" s="3623"/>
      <c r="Q14" s="3626"/>
      <c r="R14" s="3468" t="s">
        <v>3193</v>
      </c>
      <c r="S14" s="3459">
        <f>SUM(AL193:AL294)</f>
        <v>8199.9999999999982</v>
      </c>
      <c r="T14" s="3459" t="s">
        <v>3166</v>
      </c>
      <c r="U14" s="3459" t="s">
        <v>3166</v>
      </c>
      <c r="V14" s="3459" t="s">
        <v>3166</v>
      </c>
      <c r="W14" s="3459" t="s">
        <v>3166</v>
      </c>
      <c r="X14" s="3459" t="s">
        <v>3166</v>
      </c>
      <c r="Y14" s="3459" t="s">
        <v>3166</v>
      </c>
      <c r="Z14" s="3459" t="s">
        <v>3166</v>
      </c>
      <c r="AA14" s="3459" t="s">
        <v>3166</v>
      </c>
      <c r="AB14" s="3468">
        <f t="shared" si="5"/>
        <v>8199.9999999999982</v>
      </c>
      <c r="AC14" s="3459"/>
      <c r="AD14" s="3459">
        <v>0</v>
      </c>
      <c r="AE14" s="3470">
        <f t="shared" si="4"/>
        <v>0</v>
      </c>
      <c r="AF14" s="3470">
        <f t="shared" si="6"/>
        <v>8199.9999999999982</v>
      </c>
      <c r="AG14" s="3623"/>
      <c r="AH14" s="3626"/>
      <c r="AI14" s="3472">
        <v>0.5</v>
      </c>
      <c r="AJ14" s="3464" t="s">
        <v>3149</v>
      </c>
      <c r="AK14" s="3465">
        <v>2404</v>
      </c>
      <c r="AL14" s="3466">
        <v>134.22</v>
      </c>
      <c r="AM14" s="3467">
        <v>102.5</v>
      </c>
    </row>
    <row r="15" spans="1:39">
      <c r="A15" s="3456" t="s">
        <v>3194</v>
      </c>
      <c r="B15" s="3456">
        <v>11749.63</v>
      </c>
      <c r="D15" s="3456">
        <f t="shared" si="0"/>
        <v>11749.63</v>
      </c>
      <c r="G15" s="3456">
        <v>1099.3</v>
      </c>
      <c r="H15" s="3456">
        <f t="shared" si="2"/>
        <v>1099.3</v>
      </c>
      <c r="I15" s="3456">
        <f t="shared" si="3"/>
        <v>12848.929999999998</v>
      </c>
      <c r="J15" s="3456" t="s">
        <v>3181</v>
      </c>
      <c r="K15" s="3462"/>
      <c r="L15" s="3462"/>
      <c r="M15" s="3462"/>
      <c r="N15" s="3623"/>
      <c r="O15" s="3629"/>
      <c r="P15" s="3623"/>
      <c r="Q15" s="3626"/>
      <c r="R15" s="3468" t="s">
        <v>3195</v>
      </c>
      <c r="S15" s="3473">
        <f>SUM(AL35:AL60)</f>
        <v>2325.440000000001</v>
      </c>
      <c r="T15" s="3459" t="s">
        <v>3166</v>
      </c>
      <c r="U15" s="3459" t="s">
        <v>3166</v>
      </c>
      <c r="V15" s="3459" t="s">
        <v>3166</v>
      </c>
      <c r="W15" s="3459" t="s">
        <v>3166</v>
      </c>
      <c r="X15" s="3459" t="s">
        <v>3166</v>
      </c>
      <c r="Y15" s="3459" t="s">
        <v>3166</v>
      </c>
      <c r="Z15" s="3459" t="s">
        <v>3166</v>
      </c>
      <c r="AA15" s="3459" t="s">
        <v>3166</v>
      </c>
      <c r="AB15" s="3468">
        <f t="shared" si="5"/>
        <v>2325.440000000001</v>
      </c>
      <c r="AC15" s="3459"/>
      <c r="AD15" s="3459">
        <v>0</v>
      </c>
      <c r="AE15" s="3470">
        <f t="shared" si="4"/>
        <v>0</v>
      </c>
      <c r="AF15" s="3470">
        <f t="shared" si="6"/>
        <v>2325.440000000001</v>
      </c>
      <c r="AG15" s="3623"/>
      <c r="AH15" s="3626"/>
      <c r="AI15" s="3472">
        <v>0.5</v>
      </c>
      <c r="AJ15" s="3464" t="s">
        <v>3149</v>
      </c>
      <c r="AK15" s="3465">
        <v>2504</v>
      </c>
      <c r="AL15" s="3466">
        <v>134.22</v>
      </c>
      <c r="AM15" s="3467">
        <v>102.5</v>
      </c>
    </row>
    <row r="16" spans="1:39">
      <c r="A16" s="3456" t="s">
        <v>3196</v>
      </c>
      <c r="B16" s="3456">
        <v>8976.9599999999991</v>
      </c>
      <c r="D16" s="3456">
        <f t="shared" si="0"/>
        <v>8976.9599999999991</v>
      </c>
      <c r="G16" s="3456">
        <v>584.20000000000005</v>
      </c>
      <c r="H16" s="3456">
        <f t="shared" si="2"/>
        <v>584.20000000000005</v>
      </c>
      <c r="I16" s="3456">
        <f t="shared" si="3"/>
        <v>9561.16</v>
      </c>
      <c r="J16" s="3456" t="s">
        <v>3197</v>
      </c>
      <c r="K16" s="3462"/>
      <c r="L16" s="3462"/>
      <c r="M16" s="3462"/>
      <c r="N16" s="3623"/>
      <c r="O16" s="3629"/>
      <c r="P16" s="3623"/>
      <c r="Q16" s="3626"/>
      <c r="R16" s="3468" t="s">
        <v>3198</v>
      </c>
      <c r="S16" s="3459" t="s">
        <v>3166</v>
      </c>
      <c r="T16" s="3459" t="s">
        <v>3166</v>
      </c>
      <c r="U16" s="3459" t="s">
        <v>3166</v>
      </c>
      <c r="V16" s="3459" t="s">
        <v>3166</v>
      </c>
      <c r="W16" s="3459" t="s">
        <v>3166</v>
      </c>
      <c r="X16" s="3459" t="s">
        <v>3166</v>
      </c>
      <c r="Y16" s="3459" t="s">
        <v>3166</v>
      </c>
      <c r="Z16" s="3459" t="s">
        <v>3166</v>
      </c>
      <c r="AA16" s="3459" t="s">
        <v>3166</v>
      </c>
      <c r="AB16" s="3459">
        <v>0</v>
      </c>
      <c r="AC16" s="3459"/>
      <c r="AD16" s="3459">
        <v>0</v>
      </c>
      <c r="AE16" s="3470">
        <f t="shared" si="4"/>
        <v>0</v>
      </c>
      <c r="AF16" s="3470">
        <f t="shared" si="6"/>
        <v>0</v>
      </c>
      <c r="AG16" s="3623"/>
      <c r="AH16" s="3626"/>
      <c r="AI16" s="3472">
        <v>0.5</v>
      </c>
      <c r="AJ16" s="3464" t="s">
        <v>3199</v>
      </c>
      <c r="AK16" s="3465">
        <v>101</v>
      </c>
      <c r="AL16" s="3466">
        <v>134.22000000000099</v>
      </c>
      <c r="AM16" s="3467">
        <v>102.5</v>
      </c>
    </row>
    <row r="17" spans="1:39">
      <c r="A17" s="3456" t="s">
        <v>3200</v>
      </c>
      <c r="B17" s="3456">
        <v>9750.7999999999993</v>
      </c>
      <c r="D17" s="3456">
        <f t="shared" si="0"/>
        <v>9750.7999999999993</v>
      </c>
      <c r="G17" s="3456">
        <v>583.34</v>
      </c>
      <c r="H17" s="3456">
        <f t="shared" si="2"/>
        <v>583.34</v>
      </c>
      <c r="I17" s="3456">
        <f t="shared" si="3"/>
        <v>10334.14</v>
      </c>
      <c r="J17" s="3456" t="s">
        <v>3201</v>
      </c>
      <c r="K17" s="3462"/>
      <c r="L17" s="3462"/>
      <c r="M17" s="3462"/>
      <c r="N17" s="3623"/>
      <c r="O17" s="3629"/>
      <c r="P17" s="3623"/>
      <c r="Q17" s="3626"/>
      <c r="R17" s="3468" t="s">
        <v>3202</v>
      </c>
      <c r="S17" s="3459" t="s">
        <v>3166</v>
      </c>
      <c r="T17" s="3459" t="s">
        <v>3166</v>
      </c>
      <c r="U17" s="3459" t="s">
        <v>3166</v>
      </c>
      <c r="V17" s="3459" t="s">
        <v>3166</v>
      </c>
      <c r="W17" s="3459" t="s">
        <v>3166</v>
      </c>
      <c r="X17" s="3459" t="s">
        <v>3166</v>
      </c>
      <c r="Y17" s="3459" t="s">
        <v>3166</v>
      </c>
      <c r="Z17" s="3459" t="s">
        <v>3166</v>
      </c>
      <c r="AA17" s="3459">
        <f>D84</f>
        <v>37837.25</v>
      </c>
      <c r="AB17" s="3468">
        <f>SUM(S17:AA17)</f>
        <v>37837.25</v>
      </c>
      <c r="AC17" s="3459">
        <v>0</v>
      </c>
      <c r="AD17" s="3459">
        <v>0</v>
      </c>
      <c r="AE17" s="3470">
        <f>AC17+AD17</f>
        <v>0</v>
      </c>
      <c r="AF17" s="3470">
        <f>AE17+AB17</f>
        <v>37837.25</v>
      </c>
      <c r="AG17" s="3623"/>
      <c r="AH17" s="3626"/>
      <c r="AI17" s="3472">
        <v>0</v>
      </c>
      <c r="AJ17" s="3464" t="s">
        <v>3199</v>
      </c>
      <c r="AK17" s="3465">
        <v>104</v>
      </c>
      <c r="AL17" s="3466">
        <v>134.22000000000099</v>
      </c>
      <c r="AM17" s="3467">
        <v>102.5</v>
      </c>
    </row>
    <row r="18" spans="1:39">
      <c r="A18" s="3456" t="s">
        <v>3203</v>
      </c>
      <c r="B18" s="3456">
        <v>10139.9</v>
      </c>
      <c r="D18" s="3456">
        <f t="shared" si="0"/>
        <v>10139.9</v>
      </c>
      <c r="G18" s="3456">
        <f>72.05+450.7</f>
        <v>522.75</v>
      </c>
      <c r="H18" s="3456">
        <f t="shared" si="2"/>
        <v>522.75</v>
      </c>
      <c r="I18" s="3456">
        <f t="shared" si="3"/>
        <v>10662.65</v>
      </c>
      <c r="J18" s="3456" t="s">
        <v>3204</v>
      </c>
      <c r="K18" s="3462"/>
      <c r="L18" s="3462"/>
      <c r="M18" s="3462"/>
      <c r="N18" s="3624"/>
      <c r="O18" s="3630"/>
      <c r="P18" s="3624"/>
      <c r="Q18" s="3627"/>
      <c r="R18" s="3468" t="s">
        <v>3141</v>
      </c>
      <c r="S18" s="3459">
        <f>SUM(S7:S17)</f>
        <v>28081.940000000031</v>
      </c>
      <c r="T18" s="3459">
        <v>0</v>
      </c>
      <c r="U18" s="3459">
        <v>0</v>
      </c>
      <c r="V18" s="3459">
        <v>0</v>
      </c>
      <c r="W18" s="3459">
        <v>0</v>
      </c>
      <c r="X18" s="3459">
        <v>0</v>
      </c>
      <c r="Y18" s="3459">
        <f>SUM(Y7:Y17)</f>
        <v>750.18999999999994</v>
      </c>
      <c r="Z18" s="3459">
        <v>0</v>
      </c>
      <c r="AA18" s="3459">
        <f t="shared" ref="AA18:AF18" si="7">SUM(AA7:AA17)</f>
        <v>37837.25</v>
      </c>
      <c r="AB18" s="3459">
        <f t="shared" si="7"/>
        <v>66669.380000000034</v>
      </c>
      <c r="AC18" s="3459">
        <f t="shared" si="7"/>
        <v>0</v>
      </c>
      <c r="AD18" s="3459">
        <f t="shared" si="7"/>
        <v>0</v>
      </c>
      <c r="AE18" s="3474">
        <f t="shared" si="7"/>
        <v>0</v>
      </c>
      <c r="AF18" s="3474">
        <f t="shared" si="7"/>
        <v>66669.380000000034</v>
      </c>
      <c r="AG18" s="3624"/>
      <c r="AH18" s="3627"/>
      <c r="AI18" s="3456"/>
      <c r="AJ18" s="3464" t="s">
        <v>3199</v>
      </c>
      <c r="AK18" s="3465">
        <v>201</v>
      </c>
      <c r="AL18" s="3466">
        <v>134.22000000000099</v>
      </c>
      <c r="AM18" s="3467">
        <v>102.5</v>
      </c>
    </row>
    <row r="19" spans="1:39" ht="144" customHeight="1">
      <c r="A19" s="3456" t="s">
        <v>3205</v>
      </c>
      <c r="B19" s="3456">
        <v>10139.9</v>
      </c>
      <c r="D19" s="3456">
        <f t="shared" si="0"/>
        <v>10139.9</v>
      </c>
      <c r="G19" s="3456">
        <v>459.38</v>
      </c>
      <c r="H19" s="3456">
        <f t="shared" si="2"/>
        <v>459.38</v>
      </c>
      <c r="I19" s="3456">
        <f t="shared" si="3"/>
        <v>10599.279999999999</v>
      </c>
      <c r="J19" s="3456" t="s">
        <v>3181</v>
      </c>
      <c r="K19" s="3462"/>
      <c r="L19" s="3462"/>
      <c r="M19" s="3462"/>
      <c r="N19" s="3622" t="s">
        <v>3206</v>
      </c>
      <c r="O19" s="3628" t="s">
        <v>3207</v>
      </c>
      <c r="P19" s="3622">
        <f>P111</f>
        <v>18600.29</v>
      </c>
      <c r="Q19" s="3625" t="s">
        <v>3208</v>
      </c>
      <c r="R19" s="3475" t="s">
        <v>3209</v>
      </c>
      <c r="S19" s="3459" t="s">
        <v>3166</v>
      </c>
      <c r="T19" s="3459">
        <f>B91</f>
        <v>17005.980000000003</v>
      </c>
      <c r="U19" s="3459" t="s">
        <v>3166</v>
      </c>
      <c r="V19" s="3459" t="s">
        <v>3166</v>
      </c>
      <c r="W19" s="3459" t="s">
        <v>3166</v>
      </c>
      <c r="X19" s="3459" t="s">
        <v>3166</v>
      </c>
      <c r="Y19" s="3459">
        <f>C91</f>
        <v>1329.9799999999998</v>
      </c>
      <c r="Z19" s="3459" t="s">
        <v>3166</v>
      </c>
      <c r="AA19" s="3459" t="s">
        <v>3166</v>
      </c>
      <c r="AB19" s="3468">
        <f>SUM(S19:AA19)</f>
        <v>18335.960000000003</v>
      </c>
      <c r="AC19" s="3459">
        <f>J91</f>
        <v>818.1</v>
      </c>
      <c r="AD19" s="3459">
        <v>0</v>
      </c>
      <c r="AE19" s="3470">
        <f>AC19+AD19</f>
        <v>818.1</v>
      </c>
      <c r="AF19" s="3471">
        <f t="shared" ref="AF19" si="8">AE19+AB19</f>
        <v>19154.060000000001</v>
      </c>
      <c r="AG19" s="3622">
        <f>K110</f>
        <v>1109</v>
      </c>
      <c r="AH19" s="3625" t="s">
        <v>3210</v>
      </c>
      <c r="AI19" s="3472">
        <f>R92</f>
        <v>0.1</v>
      </c>
      <c r="AJ19" s="3464" t="s">
        <v>3199</v>
      </c>
      <c r="AK19" s="3465">
        <v>204</v>
      </c>
      <c r="AL19" s="3466">
        <v>134.22000000000099</v>
      </c>
      <c r="AM19" s="3467">
        <v>102.5</v>
      </c>
    </row>
    <row r="20" spans="1:39">
      <c r="A20" s="3456" t="s">
        <v>3211</v>
      </c>
      <c r="B20" s="3456">
        <v>9621</v>
      </c>
      <c r="D20" s="3456">
        <f t="shared" si="0"/>
        <v>9621</v>
      </c>
      <c r="E20" s="3456">
        <v>979.88</v>
      </c>
      <c r="G20" s="3456">
        <v>758.4</v>
      </c>
      <c r="H20" s="3456">
        <f t="shared" si="2"/>
        <v>1738.28</v>
      </c>
      <c r="I20" s="3456">
        <f t="shared" si="3"/>
        <v>11359.28</v>
      </c>
      <c r="J20" s="3456" t="s">
        <v>3181</v>
      </c>
      <c r="K20" s="3462"/>
      <c r="L20" s="3462"/>
      <c r="M20" s="3462"/>
      <c r="N20" s="3623"/>
      <c r="O20" s="3629"/>
      <c r="P20" s="3623"/>
      <c r="Q20" s="3626"/>
      <c r="R20" s="3475" t="s">
        <v>3212</v>
      </c>
      <c r="S20" s="3459" t="s">
        <v>3166</v>
      </c>
      <c r="T20" s="3459" t="s">
        <v>3166</v>
      </c>
      <c r="U20" s="3459" t="s">
        <v>3166</v>
      </c>
      <c r="V20" s="3459" t="s">
        <v>3166</v>
      </c>
      <c r="W20" s="3459" t="s">
        <v>3166</v>
      </c>
      <c r="X20" s="3459" t="s">
        <v>3166</v>
      </c>
      <c r="Y20" s="3459">
        <f>C100</f>
        <v>1887.3</v>
      </c>
      <c r="Z20" s="3459" t="s">
        <v>3166</v>
      </c>
      <c r="AA20" s="3459" t="s">
        <v>3166</v>
      </c>
      <c r="AB20" s="3468">
        <f>SUM(S20:AA20)</f>
        <v>1887.3</v>
      </c>
      <c r="AC20" s="3459">
        <v>0</v>
      </c>
      <c r="AD20" s="3459">
        <v>0</v>
      </c>
      <c r="AE20" s="3470">
        <f>AC20+AD20</f>
        <v>0</v>
      </c>
      <c r="AF20" s="3471">
        <f>AE20+AB20</f>
        <v>1887.3</v>
      </c>
      <c r="AG20" s="3623"/>
      <c r="AH20" s="3626"/>
      <c r="AI20" s="3472">
        <v>0</v>
      </c>
      <c r="AJ20" s="3464" t="s">
        <v>3199</v>
      </c>
      <c r="AK20" s="3465">
        <v>501</v>
      </c>
      <c r="AL20" s="3466">
        <v>134.22000000000099</v>
      </c>
      <c r="AM20" s="3467">
        <v>102.5</v>
      </c>
    </row>
    <row r="21" spans="1:39">
      <c r="A21" s="3456" t="s">
        <v>3213</v>
      </c>
      <c r="B21" s="3456">
        <v>8941.4</v>
      </c>
      <c r="D21" s="3456">
        <f t="shared" si="0"/>
        <v>8941.4</v>
      </c>
      <c r="E21" s="3456">
        <f>772.69</f>
        <v>772.69</v>
      </c>
      <c r="F21" s="3456">
        <v>393.8</v>
      </c>
      <c r="G21" s="3456">
        <f>597.35+74.14</f>
        <v>671.49</v>
      </c>
      <c r="H21" s="3456">
        <f t="shared" si="2"/>
        <v>1837.98</v>
      </c>
      <c r="I21" s="3456">
        <f t="shared" si="3"/>
        <v>10779.38</v>
      </c>
      <c r="J21" s="3456" t="s">
        <v>3214</v>
      </c>
      <c r="K21" s="3462"/>
      <c r="L21" s="3462"/>
      <c r="M21" s="3462"/>
      <c r="N21" s="3623"/>
      <c r="O21" s="3629"/>
      <c r="P21" s="3623"/>
      <c r="Q21" s="3626"/>
      <c r="R21" s="3475" t="s">
        <v>3215</v>
      </c>
      <c r="S21" s="3459" t="s">
        <v>3216</v>
      </c>
      <c r="T21" s="3459" t="s">
        <v>3216</v>
      </c>
      <c r="U21" s="3459" t="s">
        <v>3216</v>
      </c>
      <c r="V21" s="3459" t="s">
        <v>3216</v>
      </c>
      <c r="W21" s="3459" t="s">
        <v>3216</v>
      </c>
      <c r="X21" s="3459" t="s">
        <v>3216</v>
      </c>
      <c r="Y21" s="3459">
        <f>C101</f>
        <v>1199.55</v>
      </c>
      <c r="Z21" s="3459" t="s">
        <v>3217</v>
      </c>
      <c r="AA21" s="3459" t="s">
        <v>3217</v>
      </c>
      <c r="AB21" s="3468">
        <f>SUM(S21:AA21)</f>
        <v>1199.55</v>
      </c>
      <c r="AC21" s="3459">
        <v>0</v>
      </c>
      <c r="AD21" s="3459">
        <v>0</v>
      </c>
      <c r="AE21" s="3470">
        <f>AC21+AD21</f>
        <v>0</v>
      </c>
      <c r="AF21" s="3471">
        <f>AE21+AB21</f>
        <v>1199.55</v>
      </c>
      <c r="AG21" s="3623"/>
      <c r="AH21" s="3626"/>
      <c r="AI21" s="3472">
        <v>0</v>
      </c>
      <c r="AJ21" s="3464" t="s">
        <v>3199</v>
      </c>
      <c r="AK21" s="3465">
        <v>1001</v>
      </c>
      <c r="AL21" s="3466">
        <v>134.22000000000099</v>
      </c>
      <c r="AM21" s="3467">
        <v>102.5</v>
      </c>
    </row>
    <row r="22" spans="1:39">
      <c r="A22" s="3456" t="s">
        <v>3218</v>
      </c>
      <c r="D22" s="3456">
        <f t="shared" si="0"/>
        <v>0</v>
      </c>
      <c r="F22" s="3456">
        <v>226.28</v>
      </c>
      <c r="H22" s="3456">
        <f t="shared" si="2"/>
        <v>226.28</v>
      </c>
      <c r="I22" s="3456">
        <f t="shared" si="3"/>
        <v>226.28</v>
      </c>
      <c r="J22" s="3456">
        <v>1</v>
      </c>
      <c r="K22" s="3462"/>
      <c r="L22" s="3462"/>
      <c r="M22" s="3462"/>
      <c r="N22" s="3623"/>
      <c r="O22" s="3629"/>
      <c r="P22" s="3623"/>
      <c r="Q22" s="3626"/>
      <c r="R22" s="3475" t="s">
        <v>3219</v>
      </c>
      <c r="S22" s="3459" t="s">
        <v>3217</v>
      </c>
      <c r="T22" s="3459" t="s">
        <v>3217</v>
      </c>
      <c r="U22" s="3459" t="s">
        <v>3217</v>
      </c>
      <c r="V22" s="3459" t="s">
        <v>3217</v>
      </c>
      <c r="W22" s="3459" t="s">
        <v>3217</v>
      </c>
      <c r="X22" s="3459">
        <f>D110</f>
        <v>33174.019999999997</v>
      </c>
      <c r="Y22" s="3459" t="s">
        <v>3166</v>
      </c>
      <c r="Z22" s="3459" t="s">
        <v>3166</v>
      </c>
      <c r="AA22" s="3459" t="s">
        <v>3166</v>
      </c>
      <c r="AB22" s="3468">
        <f>SUM(S22:AA22)</f>
        <v>33174.019999999997</v>
      </c>
      <c r="AC22" s="3459">
        <f>J102</f>
        <v>297.03000000000611</v>
      </c>
      <c r="AD22" s="3459">
        <v>0</v>
      </c>
      <c r="AE22" s="3470">
        <f>AC22+AD22</f>
        <v>297.03000000000611</v>
      </c>
      <c r="AF22" s="3471">
        <f>AE22+AB22</f>
        <v>33471.050000000003</v>
      </c>
      <c r="AG22" s="3623"/>
      <c r="AH22" s="3626"/>
      <c r="AI22" s="3472">
        <v>0</v>
      </c>
      <c r="AJ22" s="3464" t="s">
        <v>3199</v>
      </c>
      <c r="AK22" s="3465">
        <v>1401</v>
      </c>
      <c r="AL22" s="3466">
        <v>134.22000000000099</v>
      </c>
      <c r="AM22" s="3467">
        <v>102.5</v>
      </c>
    </row>
    <row r="23" spans="1:39" ht="13.5" customHeight="1">
      <c r="A23" s="3456" t="s">
        <v>3220</v>
      </c>
      <c r="D23" s="3456">
        <f t="shared" si="0"/>
        <v>0</v>
      </c>
      <c r="F23" s="3456">
        <v>173.79</v>
      </c>
      <c r="H23" s="3456">
        <f t="shared" si="2"/>
        <v>173.79</v>
      </c>
      <c r="I23" s="3456">
        <f t="shared" si="3"/>
        <v>173.79</v>
      </c>
      <c r="J23" s="3456">
        <v>1</v>
      </c>
      <c r="K23" s="3462"/>
      <c r="L23" s="3462"/>
      <c r="M23" s="3462"/>
      <c r="N23" s="3623"/>
      <c r="O23" s="3629"/>
      <c r="P23" s="3623"/>
      <c r="Q23" s="3626"/>
      <c r="R23" s="3468" t="s">
        <v>3221</v>
      </c>
      <c r="S23" s="3459" t="s">
        <v>3222</v>
      </c>
      <c r="T23" s="3459" t="s">
        <v>3222</v>
      </c>
      <c r="U23" s="3459" t="s">
        <v>3222</v>
      </c>
      <c r="V23" s="3459" t="s">
        <v>3222</v>
      </c>
      <c r="W23" s="3459" t="s">
        <v>3222</v>
      </c>
      <c r="X23" s="3459" t="s">
        <v>3222</v>
      </c>
      <c r="Y23" s="3459" t="s">
        <v>3222</v>
      </c>
      <c r="Z23" s="3459" t="s">
        <v>3222</v>
      </c>
      <c r="AA23" s="3459">
        <f>F104</f>
        <v>24149.439999999999</v>
      </c>
      <c r="AB23" s="3468">
        <f>SUM(S23:AA23)</f>
        <v>24149.439999999999</v>
      </c>
      <c r="AC23" s="3459"/>
      <c r="AD23" s="3459">
        <f>K104</f>
        <v>5282.84</v>
      </c>
      <c r="AE23" s="3470">
        <f>AC23+AD23</f>
        <v>5282.84</v>
      </c>
      <c r="AF23" s="3471">
        <f>AE23+AB23</f>
        <v>29432.28</v>
      </c>
      <c r="AG23" s="3623"/>
      <c r="AH23" s="3626"/>
      <c r="AI23" s="3472">
        <v>0</v>
      </c>
      <c r="AJ23" s="3464" t="s">
        <v>3199</v>
      </c>
      <c r="AK23" s="3465">
        <v>1801</v>
      </c>
      <c r="AL23" s="3466">
        <v>134.22000000000099</v>
      </c>
      <c r="AM23" s="3467">
        <v>102.5</v>
      </c>
    </row>
    <row r="24" spans="1:39">
      <c r="A24" s="3456" t="s">
        <v>3223</v>
      </c>
      <c r="D24" s="3456">
        <f t="shared" si="0"/>
        <v>0</v>
      </c>
      <c r="F24" s="3456">
        <v>178.57</v>
      </c>
      <c r="H24" s="3456">
        <f t="shared" si="2"/>
        <v>178.57</v>
      </c>
      <c r="I24" s="3456">
        <f t="shared" si="3"/>
        <v>178.57</v>
      </c>
      <c r="J24" s="3456">
        <v>1</v>
      </c>
      <c r="K24" s="3462"/>
      <c r="L24" s="3462"/>
      <c r="M24" s="3462"/>
      <c r="N24" s="3624"/>
      <c r="O24" s="3630"/>
      <c r="P24" s="3624"/>
      <c r="Q24" s="3627"/>
      <c r="R24" s="3468" t="s">
        <v>3141</v>
      </c>
      <c r="S24" s="3459">
        <f t="shared" ref="S24:AF24" si="9">SUM(S19:S23)</f>
        <v>0</v>
      </c>
      <c r="T24" s="3459">
        <f t="shared" si="9"/>
        <v>17005.980000000003</v>
      </c>
      <c r="U24" s="3459">
        <f t="shared" si="9"/>
        <v>0</v>
      </c>
      <c r="V24" s="3459">
        <f t="shared" si="9"/>
        <v>0</v>
      </c>
      <c r="W24" s="3459">
        <f t="shared" si="9"/>
        <v>0</v>
      </c>
      <c r="X24" s="3459">
        <f t="shared" si="9"/>
        <v>33174.019999999997</v>
      </c>
      <c r="Y24" s="3459">
        <f t="shared" si="9"/>
        <v>4416.83</v>
      </c>
      <c r="Z24" s="3459">
        <f t="shared" si="9"/>
        <v>0</v>
      </c>
      <c r="AA24" s="3459">
        <f t="shared" si="9"/>
        <v>24149.439999999999</v>
      </c>
      <c r="AB24" s="3459">
        <f t="shared" si="9"/>
        <v>78746.27</v>
      </c>
      <c r="AC24" s="3459">
        <f t="shared" si="9"/>
        <v>1115.130000000006</v>
      </c>
      <c r="AD24" s="3459">
        <f t="shared" si="9"/>
        <v>5282.84</v>
      </c>
      <c r="AE24" s="3474">
        <f t="shared" si="9"/>
        <v>6397.9700000000066</v>
      </c>
      <c r="AF24" s="3473">
        <f t="shared" si="9"/>
        <v>85144.24</v>
      </c>
      <c r="AG24" s="3624"/>
      <c r="AH24" s="3627"/>
      <c r="AI24" s="3456"/>
      <c r="AJ24" s="3464" t="s">
        <v>3199</v>
      </c>
      <c r="AK24" s="3465">
        <v>1804</v>
      </c>
      <c r="AL24" s="3466">
        <v>134.22000000000099</v>
      </c>
      <c r="AM24" s="3467">
        <v>102.5</v>
      </c>
    </row>
    <row r="25" spans="1:39" ht="60">
      <c r="A25" s="3456" t="s">
        <v>3224</v>
      </c>
      <c r="D25" s="3456">
        <f t="shared" si="0"/>
        <v>0</v>
      </c>
      <c r="F25" s="3456">
        <v>173.79</v>
      </c>
      <c r="H25" s="3456">
        <f t="shared" si="2"/>
        <v>173.79</v>
      </c>
      <c r="I25" s="3456">
        <f t="shared" si="3"/>
        <v>173.79</v>
      </c>
      <c r="J25" s="3456">
        <v>1</v>
      </c>
      <c r="K25" s="3462"/>
      <c r="L25" s="3462"/>
      <c r="M25" s="3462"/>
      <c r="N25" s="3459" t="s">
        <v>3225</v>
      </c>
      <c r="O25" s="3476" t="s">
        <v>3226</v>
      </c>
      <c r="P25" s="3459">
        <f>C113</f>
        <v>2421.34</v>
      </c>
      <c r="Q25" s="3476" t="s">
        <v>3227</v>
      </c>
      <c r="R25" s="3459" t="s">
        <v>3216</v>
      </c>
      <c r="S25" s="3459">
        <v>0</v>
      </c>
      <c r="T25" s="3459">
        <v>0</v>
      </c>
      <c r="U25" s="3459">
        <v>0</v>
      </c>
      <c r="V25" s="3459">
        <v>0</v>
      </c>
      <c r="W25" s="3459">
        <v>0</v>
      </c>
      <c r="X25" s="3459">
        <v>0</v>
      </c>
      <c r="Y25" s="3459">
        <f>B120</f>
        <v>1724.68</v>
      </c>
      <c r="Z25" s="3459">
        <v>0</v>
      </c>
      <c r="AA25" s="3459">
        <f>C120</f>
        <v>1039.76</v>
      </c>
      <c r="AB25" s="3468">
        <f>SUM(S25:AA25)</f>
        <v>2764.44</v>
      </c>
      <c r="AC25" s="3459">
        <f>E120</f>
        <v>2626.7</v>
      </c>
      <c r="AD25" s="3459">
        <f>F120</f>
        <v>103.67</v>
      </c>
      <c r="AE25" s="3470">
        <f>AC25+AD25</f>
        <v>2730.37</v>
      </c>
      <c r="AF25" s="3471">
        <f>AE25+AB25</f>
        <v>5494.8099999999995</v>
      </c>
      <c r="AG25" s="3459">
        <f>I120</f>
        <v>35</v>
      </c>
      <c r="AH25" s="3476" t="s">
        <v>3228</v>
      </c>
      <c r="AI25" s="3472">
        <v>0</v>
      </c>
      <c r="AJ25" s="3464" t="s">
        <v>3199</v>
      </c>
      <c r="AK25" s="3465">
        <v>2001</v>
      </c>
      <c r="AL25" s="3466">
        <v>134.22000000000099</v>
      </c>
      <c r="AM25" s="3467">
        <v>102.5</v>
      </c>
    </row>
    <row r="26" spans="1:39" ht="24">
      <c r="A26" s="3456" t="s">
        <v>3229</v>
      </c>
      <c r="D26" s="3456">
        <f t="shared" si="0"/>
        <v>0</v>
      </c>
      <c r="F26" s="3456">
        <v>194.36</v>
      </c>
      <c r="H26" s="3456">
        <f t="shared" si="2"/>
        <v>194.36</v>
      </c>
      <c r="I26" s="3456">
        <f t="shared" si="3"/>
        <v>194.36</v>
      </c>
      <c r="J26" s="3456">
        <v>1</v>
      </c>
      <c r="K26" s="3462"/>
      <c r="L26" s="3462"/>
      <c r="M26" s="3462"/>
      <c r="N26" s="3459" t="s">
        <v>3230</v>
      </c>
      <c r="O26" s="3476" t="s">
        <v>3231</v>
      </c>
      <c r="P26" s="3459">
        <f>C124</f>
        <v>26460.97</v>
      </c>
      <c r="Q26" s="3476" t="s">
        <v>3217</v>
      </c>
      <c r="R26" s="3476" t="s">
        <v>3217</v>
      </c>
      <c r="S26" s="3476" t="s">
        <v>3217</v>
      </c>
      <c r="T26" s="3476" t="s">
        <v>3217</v>
      </c>
      <c r="U26" s="3476" t="s">
        <v>3217</v>
      </c>
      <c r="V26" s="3476" t="s">
        <v>3217</v>
      </c>
      <c r="W26" s="3476" t="s">
        <v>3217</v>
      </c>
      <c r="X26" s="3476" t="s">
        <v>3217</v>
      </c>
      <c r="Y26" s="3476" t="s">
        <v>3217</v>
      </c>
      <c r="Z26" s="3476" t="s">
        <v>3217</v>
      </c>
      <c r="AA26" s="3476" t="s">
        <v>3217</v>
      </c>
      <c r="AB26" s="3476" t="s">
        <v>3217</v>
      </c>
      <c r="AC26" s="3476" t="s">
        <v>3217</v>
      </c>
      <c r="AD26" s="3476" t="s">
        <v>3217</v>
      </c>
      <c r="AE26" s="3476" t="s">
        <v>3217</v>
      </c>
      <c r="AF26" s="3476" t="s">
        <v>3217</v>
      </c>
      <c r="AG26" s="3476" t="s">
        <v>3217</v>
      </c>
      <c r="AH26" s="3459" t="s">
        <v>3217</v>
      </c>
      <c r="AI26" s="3456"/>
      <c r="AJ26" s="3464" t="s">
        <v>3199</v>
      </c>
      <c r="AK26" s="3465">
        <v>2101</v>
      </c>
      <c r="AL26" s="3466">
        <v>134.22000000000099</v>
      </c>
      <c r="AM26" s="3467">
        <v>102.5</v>
      </c>
    </row>
    <row r="27" spans="1:39">
      <c r="A27" s="3456" t="s">
        <v>3232</v>
      </c>
      <c r="D27" s="3456">
        <f t="shared" si="0"/>
        <v>0</v>
      </c>
      <c r="F27" s="3456">
        <v>75.2</v>
      </c>
      <c r="H27" s="3456">
        <f t="shared" si="2"/>
        <v>75.2</v>
      </c>
      <c r="I27" s="3456">
        <f t="shared" si="3"/>
        <v>75.2</v>
      </c>
      <c r="J27" s="3456">
        <v>1</v>
      </c>
      <c r="K27" s="3462"/>
      <c r="L27" s="3462"/>
      <c r="M27" s="3462"/>
      <c r="N27" s="3620" t="s">
        <v>3233</v>
      </c>
      <c r="O27" s="3620"/>
      <c r="P27" s="3459">
        <f>P5+P6+P7+P19+P25+P26</f>
        <v>174711.09</v>
      </c>
      <c r="Q27" s="3459" t="s">
        <v>3217</v>
      </c>
      <c r="R27" s="3459" t="s">
        <v>3217</v>
      </c>
      <c r="S27" s="3459">
        <f t="shared" ref="S27:AF27" si="10">S25+S24+S18+S6+S5</f>
        <v>186630.02000000002</v>
      </c>
      <c r="T27" s="3459">
        <f t="shared" si="10"/>
        <v>17005.980000000003</v>
      </c>
      <c r="U27" s="3459">
        <f t="shared" si="10"/>
        <v>61366.87</v>
      </c>
      <c r="V27" s="3459">
        <f t="shared" si="10"/>
        <v>59090.52</v>
      </c>
      <c r="W27" s="3459">
        <f t="shared" si="10"/>
        <v>10614.69</v>
      </c>
      <c r="X27" s="3459">
        <f t="shared" si="10"/>
        <v>97724.53</v>
      </c>
      <c r="Y27" s="3459">
        <f t="shared" si="10"/>
        <v>11538.04</v>
      </c>
      <c r="Z27" s="3459">
        <f t="shared" si="10"/>
        <v>9000.11</v>
      </c>
      <c r="AA27" s="3459">
        <f t="shared" si="10"/>
        <v>172650.03</v>
      </c>
      <c r="AB27" s="3459">
        <f t="shared" si="10"/>
        <v>625620.79</v>
      </c>
      <c r="AC27" s="3459">
        <f t="shared" si="10"/>
        <v>11898.870000000004</v>
      </c>
      <c r="AD27" s="3459">
        <f t="shared" si="10"/>
        <v>18643.04</v>
      </c>
      <c r="AE27" s="3459">
        <f t="shared" si="10"/>
        <v>30541.910000000007</v>
      </c>
      <c r="AF27" s="3459">
        <f t="shared" si="10"/>
        <v>656162.69999999995</v>
      </c>
      <c r="AG27" s="3459">
        <f>AG25+AG19+AG7+AG6+AG5</f>
        <v>6071</v>
      </c>
      <c r="AH27" s="3477" t="s">
        <v>3217</v>
      </c>
      <c r="AJ27" s="3464" t="s">
        <v>3199</v>
      </c>
      <c r="AK27" s="3465">
        <v>2104</v>
      </c>
      <c r="AL27" s="3466">
        <v>134.22000000000099</v>
      </c>
      <c r="AM27" s="3467">
        <v>102.5</v>
      </c>
    </row>
    <row r="28" spans="1:39">
      <c r="A28" s="3456" t="s">
        <v>3234</v>
      </c>
      <c r="D28" s="3456">
        <f t="shared" si="0"/>
        <v>0</v>
      </c>
      <c r="E28" s="3456">
        <v>236.96</v>
      </c>
      <c r="F28" s="3456">
        <v>236.96</v>
      </c>
      <c r="H28" s="3456">
        <f t="shared" si="2"/>
        <v>473.92</v>
      </c>
      <c r="I28" s="3456">
        <f t="shared" si="3"/>
        <v>473.92</v>
      </c>
      <c r="J28" s="3456">
        <v>2</v>
      </c>
      <c r="K28" s="3462"/>
      <c r="L28" s="3462"/>
      <c r="M28" s="3462"/>
      <c r="AH28" s="3481" t="s">
        <v>3235</v>
      </c>
      <c r="AI28" s="3482">
        <f>ROUND((AF5*AI5+AF6*AI6+AF7*AI7+AF8*AI8+AF9*AI9+AF10*AI10+AF11*AI11+AF12*AI12+AF13*AI13+AF14*AI14+AF15*AI15+AF16*AI16++AF17*AI17+AF19*AI19++AF20*AI20+AF21*AI21+AF22*AI22+AF23*AI23+AF25*AI25)/AF27,3)</f>
        <v>2.5000000000000001E-2</v>
      </c>
      <c r="AJ28" s="3464" t="s">
        <v>3199</v>
      </c>
      <c r="AK28" s="3465">
        <v>2204</v>
      </c>
      <c r="AL28" s="3466">
        <v>134.22000000000099</v>
      </c>
      <c r="AM28" s="3467">
        <v>102.5</v>
      </c>
    </row>
    <row r="29" spans="1:39">
      <c r="A29" s="3456" t="s">
        <v>3236</v>
      </c>
      <c r="C29" s="3456">
        <v>53823.5</v>
      </c>
      <c r="D29" s="3456">
        <f t="shared" si="0"/>
        <v>53823.5</v>
      </c>
      <c r="H29" s="3456">
        <f t="shared" si="2"/>
        <v>0</v>
      </c>
      <c r="I29" s="3456">
        <f t="shared" si="3"/>
        <v>53823.5</v>
      </c>
      <c r="K29" s="3462"/>
      <c r="L29" s="3462"/>
      <c r="M29" s="3462"/>
      <c r="AJ29" s="3464" t="s">
        <v>3199</v>
      </c>
      <c r="AK29" s="3465">
        <v>2401</v>
      </c>
      <c r="AL29" s="3466">
        <v>134.22000000000099</v>
      </c>
      <c r="AM29" s="3467">
        <v>102.5</v>
      </c>
    </row>
    <row r="30" spans="1:39">
      <c r="A30" s="3456" t="s">
        <v>3233</v>
      </c>
      <c r="B30" s="3456">
        <f t="shared" ref="B30:H30" si="11">SUM(B6:B29)</f>
        <v>156980.76999999999</v>
      </c>
      <c r="C30" s="3456">
        <f t="shared" si="11"/>
        <v>53823.5</v>
      </c>
      <c r="D30" s="3456">
        <f t="shared" si="11"/>
        <v>210804.27</v>
      </c>
      <c r="E30" s="3456">
        <f t="shared" si="11"/>
        <v>1989.5300000000002</v>
      </c>
      <c r="F30" s="3456">
        <f t="shared" si="11"/>
        <v>3210.96</v>
      </c>
      <c r="G30" s="3456">
        <f t="shared" si="11"/>
        <v>8995.92</v>
      </c>
      <c r="H30" s="3456">
        <f t="shared" si="11"/>
        <v>14196.410000000003</v>
      </c>
      <c r="I30" s="3456">
        <f>SUM(I6:I29)</f>
        <v>225000.68000000002</v>
      </c>
      <c r="K30" s="3462"/>
      <c r="L30" s="3462"/>
      <c r="M30" s="3462"/>
      <c r="R30" s="3462" t="s">
        <v>3237</v>
      </c>
      <c r="AJ30" s="3464" t="s">
        <v>3199</v>
      </c>
      <c r="AK30" s="3465">
        <v>2404</v>
      </c>
      <c r="AL30" s="3466">
        <v>134.22000000000099</v>
      </c>
      <c r="AM30" s="3467">
        <v>102.5</v>
      </c>
    </row>
    <row r="31" spans="1:39">
      <c r="K31" s="3462"/>
      <c r="L31" s="3462"/>
      <c r="M31" s="3462"/>
      <c r="S31" s="3456" t="str">
        <f>S4</f>
        <v>可售住宅</v>
      </c>
      <c r="T31" s="3456" t="str">
        <f t="shared" ref="T31:AA31" si="12">T4</f>
        <v>自持住宅</v>
      </c>
      <c r="U31" s="3456" t="str">
        <f t="shared" si="12"/>
        <v>公寓</v>
      </c>
      <c r="V31" s="3456" t="str">
        <f t="shared" si="12"/>
        <v>自持商业</v>
      </c>
      <c r="W31" s="3456" t="str">
        <f t="shared" si="12"/>
        <v>酒店</v>
      </c>
      <c r="X31" s="3456" t="str">
        <f t="shared" si="12"/>
        <v>办公</v>
      </c>
      <c r="Y31" s="3456" t="str">
        <f t="shared" si="12"/>
        <v>可售商业</v>
      </c>
      <c r="Z31" s="3456" t="str">
        <f t="shared" si="12"/>
        <v>自持商业</v>
      </c>
      <c r="AA31" s="3456" t="str">
        <f t="shared" si="12"/>
        <v>车库</v>
      </c>
      <c r="AB31" s="3456" t="str">
        <f>AC4</f>
        <v>设备</v>
      </c>
      <c r="AJ31" s="3464" t="s">
        <v>3199</v>
      </c>
      <c r="AK31" s="3465">
        <v>2501</v>
      </c>
      <c r="AL31" s="3466">
        <v>134.22000000000099</v>
      </c>
      <c r="AM31" s="3467">
        <v>102.5</v>
      </c>
    </row>
    <row r="32" spans="1:39">
      <c r="A32" s="3484" t="s">
        <v>3238</v>
      </c>
      <c r="B32" s="3458"/>
      <c r="C32" s="3458"/>
      <c r="D32" s="3458"/>
      <c r="E32" s="3458"/>
      <c r="F32" s="3458"/>
      <c r="G32" s="3458"/>
      <c r="H32" s="3458"/>
      <c r="I32" s="3458"/>
      <c r="J32" s="3458"/>
      <c r="K32" s="3462"/>
      <c r="L32" s="3462"/>
      <c r="M32" s="3462"/>
      <c r="S32" s="3485">
        <f>ROUND((S5*AI5+S18*AI16)/S27,2)</f>
        <v>0.08</v>
      </c>
      <c r="T32" s="3472">
        <f>AI19</f>
        <v>0.1</v>
      </c>
      <c r="U32" s="3472">
        <f>AI6</f>
        <v>0</v>
      </c>
      <c r="V32" s="3472">
        <f>AI6</f>
        <v>0</v>
      </c>
      <c r="W32" s="3472">
        <f>AI6</f>
        <v>0</v>
      </c>
      <c r="X32" s="3472">
        <v>0</v>
      </c>
      <c r="Y32" s="3472">
        <f>ROUND((Y5*AI5+Y6*AI6+Y7*AI7+Y8*AI8+Y19*AI19+Y20*AI20+Y21*AI21+Y25*AI25)/Y27,2)</f>
        <v>0.04</v>
      </c>
      <c r="Z32" s="3472">
        <f>AI6</f>
        <v>0</v>
      </c>
      <c r="AA32" s="3472">
        <v>0</v>
      </c>
      <c r="AB32" s="3472">
        <v>0</v>
      </c>
      <c r="AJ32" s="3464" t="s">
        <v>3199</v>
      </c>
      <c r="AK32" s="3465">
        <v>2504</v>
      </c>
      <c r="AL32" s="3466">
        <v>134.22000000000099</v>
      </c>
      <c r="AM32" s="3467">
        <v>102.5</v>
      </c>
    </row>
    <row r="33" spans="1:39">
      <c r="A33" s="3486"/>
      <c r="B33" s="3458" t="s">
        <v>3239</v>
      </c>
      <c r="C33" s="3487"/>
      <c r="D33" s="3458"/>
      <c r="E33" s="3458" t="s">
        <v>3240</v>
      </c>
      <c r="F33" s="3458" t="s">
        <v>3241</v>
      </c>
      <c r="G33" s="3458"/>
      <c r="H33" s="3458" t="s">
        <v>3240</v>
      </c>
      <c r="I33" s="3458" t="s">
        <v>3233</v>
      </c>
      <c r="J33" s="3458"/>
      <c r="K33" s="3462"/>
      <c r="L33" s="3462"/>
      <c r="M33" s="3462"/>
      <c r="AJ33" s="3464" t="s">
        <v>3199</v>
      </c>
      <c r="AK33" s="3465">
        <v>2601</v>
      </c>
      <c r="AL33" s="3466">
        <v>134.22000000000099</v>
      </c>
      <c r="AM33" s="3467">
        <v>102.5</v>
      </c>
    </row>
    <row r="34" spans="1:39">
      <c r="A34" s="3486"/>
      <c r="B34" s="3458" t="s">
        <v>3242</v>
      </c>
      <c r="C34" s="3458"/>
      <c r="D34" s="3458" t="s">
        <v>3243</v>
      </c>
      <c r="E34" s="3458"/>
      <c r="F34" s="3458" t="s">
        <v>3242</v>
      </c>
      <c r="G34" s="3458" t="s">
        <v>3243</v>
      </c>
      <c r="H34" s="3458"/>
      <c r="I34" s="3458"/>
      <c r="J34" s="3458"/>
      <c r="K34" s="3462"/>
      <c r="L34" s="3462"/>
      <c r="M34" s="3462"/>
      <c r="AJ34" s="3464" t="s">
        <v>3199</v>
      </c>
      <c r="AK34" s="3465">
        <v>2604</v>
      </c>
      <c r="AL34" s="3466">
        <v>134.22000000000099</v>
      </c>
      <c r="AM34" s="3467">
        <v>102.5</v>
      </c>
    </row>
    <row r="35" spans="1:39">
      <c r="A35" s="3486"/>
      <c r="B35" s="3458" t="s">
        <v>3244</v>
      </c>
      <c r="C35" s="3487" t="s">
        <v>3245</v>
      </c>
      <c r="D35" s="3458" t="s">
        <v>3246</v>
      </c>
      <c r="E35" s="3458"/>
      <c r="F35" s="3458" t="s">
        <v>3247</v>
      </c>
      <c r="G35" s="3458" t="s">
        <v>3247</v>
      </c>
      <c r="H35" s="3458"/>
      <c r="I35" s="3458"/>
      <c r="J35" s="3458" t="s">
        <v>3248</v>
      </c>
      <c r="K35" s="3462"/>
      <c r="L35" s="3462"/>
      <c r="M35" s="3462"/>
      <c r="O35" s="3456"/>
      <c r="P35" s="3456"/>
      <c r="Q35" s="3456"/>
      <c r="R35" s="3456"/>
      <c r="S35" s="3456"/>
      <c r="T35" s="3456"/>
      <c r="U35" s="3456"/>
      <c r="V35" s="3456"/>
      <c r="W35" s="3456"/>
      <c r="X35" s="3488"/>
      <c r="Y35" s="3456"/>
      <c r="Z35" s="3456"/>
      <c r="AA35" s="3489"/>
      <c r="AB35" s="3490"/>
      <c r="AC35" s="3456"/>
      <c r="AJ35" s="3464" t="s">
        <v>3249</v>
      </c>
      <c r="AK35" s="3465">
        <v>101</v>
      </c>
      <c r="AL35" s="3466">
        <v>89.44</v>
      </c>
      <c r="AM35" s="3467">
        <v>65.849999999999994</v>
      </c>
    </row>
    <row r="36" spans="1:39">
      <c r="A36" s="3486" t="s">
        <v>3125</v>
      </c>
      <c r="B36" s="3458">
        <v>158548.07999999999</v>
      </c>
      <c r="C36" s="3458">
        <v>937.37</v>
      </c>
      <c r="D36" s="3458">
        <f>62819.43</f>
        <v>62819.43</v>
      </c>
      <c r="E36" s="3458">
        <f>SUM(B36:D36)</f>
        <v>222304.87999999998</v>
      </c>
      <c r="F36" s="3458">
        <f>2437</f>
        <v>2437</v>
      </c>
      <c r="G36" s="3458">
        <f>258.93</f>
        <v>258.93</v>
      </c>
      <c r="H36" s="3458">
        <f>SUM(F36:G36)</f>
        <v>2695.93</v>
      </c>
      <c r="I36" s="3457">
        <f>H36+E36</f>
        <v>225000.80999999997</v>
      </c>
      <c r="J36" s="3458">
        <v>1760</v>
      </c>
      <c r="K36" s="3462"/>
      <c r="L36" s="3462"/>
      <c r="M36" s="3462"/>
      <c r="O36" s="3456"/>
      <c r="P36" s="3456"/>
      <c r="Q36" s="3456"/>
      <c r="R36" s="3456"/>
      <c r="S36" s="3456"/>
      <c r="T36" s="3456"/>
      <c r="U36" s="3456"/>
      <c r="V36" s="3456"/>
      <c r="W36" s="3456"/>
      <c r="X36" s="3488"/>
      <c r="Y36" s="3456"/>
      <c r="Z36" s="3456"/>
      <c r="AA36" s="3489"/>
      <c r="AB36" s="3490"/>
      <c r="AC36" s="3456"/>
      <c r="AJ36" s="3464" t="s">
        <v>3249</v>
      </c>
      <c r="AK36" s="3465">
        <v>102</v>
      </c>
      <c r="AL36" s="3466">
        <v>89.44</v>
      </c>
      <c r="AM36" s="3467">
        <v>65.849999999999994</v>
      </c>
    </row>
    <row r="37" spans="1:39">
      <c r="O37" s="3456"/>
      <c r="P37" s="3456"/>
      <c r="Q37" s="3456"/>
      <c r="R37" s="3456"/>
      <c r="S37" s="3456"/>
      <c r="T37" s="3456"/>
      <c r="U37" s="3456"/>
      <c r="V37" s="3456"/>
      <c r="W37" s="3456"/>
      <c r="X37" s="3488"/>
      <c r="Y37" s="3456"/>
      <c r="Z37" s="3456"/>
      <c r="AA37" s="3489"/>
      <c r="AB37" s="3490"/>
      <c r="AC37" s="3456"/>
      <c r="AJ37" s="3464" t="s">
        <v>3249</v>
      </c>
      <c r="AK37" s="3465">
        <v>103</v>
      </c>
      <c r="AL37" s="3466">
        <v>89.44</v>
      </c>
      <c r="AM37" s="3467">
        <v>65.849999999999994</v>
      </c>
    </row>
    <row r="38" spans="1:39">
      <c r="A38" s="3455" t="s">
        <v>3250</v>
      </c>
      <c r="B38" s="3456" t="s">
        <v>3126</v>
      </c>
      <c r="C38" s="3457">
        <v>51144.97</v>
      </c>
      <c r="O38" s="3456"/>
      <c r="P38" s="3456"/>
      <c r="Q38" s="3456"/>
      <c r="R38" s="3456"/>
      <c r="S38" s="3456"/>
      <c r="T38" s="3456"/>
      <c r="U38" s="3456"/>
      <c r="V38" s="3456"/>
      <c r="W38" s="3456"/>
      <c r="X38" s="3488"/>
      <c r="Y38" s="3456"/>
      <c r="Z38" s="3456"/>
      <c r="AA38" s="3489"/>
      <c r="AB38" s="3490"/>
      <c r="AC38" s="3456"/>
      <c r="AJ38" s="3464" t="s">
        <v>3249</v>
      </c>
      <c r="AK38" s="3465">
        <v>104</v>
      </c>
      <c r="AL38" s="3466">
        <v>89.44</v>
      </c>
      <c r="AM38" s="3467">
        <v>65.849999999999994</v>
      </c>
    </row>
    <row r="39" spans="1:39">
      <c r="A39" s="3456" t="s">
        <v>3251</v>
      </c>
      <c r="AJ39" s="3464" t="s">
        <v>3249</v>
      </c>
      <c r="AK39" s="3465">
        <v>105</v>
      </c>
      <c r="AL39" s="3466">
        <v>89.44</v>
      </c>
      <c r="AM39" s="3467">
        <v>65.849999999999994</v>
      </c>
    </row>
    <row r="40" spans="1:39">
      <c r="B40" s="3456" t="s">
        <v>3239</v>
      </c>
      <c r="H40" s="3456" t="s">
        <v>3240</v>
      </c>
      <c r="I40" s="3456" t="s">
        <v>3241</v>
      </c>
      <c r="L40" s="3456" t="s">
        <v>3240</v>
      </c>
      <c r="M40" s="3456" t="s">
        <v>3233</v>
      </c>
      <c r="AJ40" s="3464" t="s">
        <v>3249</v>
      </c>
      <c r="AK40" s="3465">
        <v>502</v>
      </c>
      <c r="AL40" s="3466">
        <v>89.44</v>
      </c>
      <c r="AM40" s="3467">
        <v>65.849999999999994</v>
      </c>
    </row>
    <row r="41" spans="1:39">
      <c r="B41" s="3456" t="s">
        <v>3242</v>
      </c>
      <c r="F41" s="3456" t="s">
        <v>3243</v>
      </c>
      <c r="I41" s="3456" t="s">
        <v>3242</v>
      </c>
      <c r="J41" s="3456" t="s">
        <v>3242</v>
      </c>
      <c r="K41" s="3456" t="s">
        <v>3243</v>
      </c>
      <c r="AJ41" s="3464" t="s">
        <v>3249</v>
      </c>
      <c r="AK41" s="3465">
        <v>1403</v>
      </c>
      <c r="AL41" s="3466">
        <v>89.44</v>
      </c>
      <c r="AM41" s="3467">
        <v>65.849999999999994</v>
      </c>
    </row>
    <row r="42" spans="1:39">
      <c r="B42" s="3456" t="s">
        <v>3252</v>
      </c>
      <c r="C42" s="3456" t="s">
        <v>3253</v>
      </c>
      <c r="F42" s="3456" t="s">
        <v>3246</v>
      </c>
      <c r="I42" s="3456" t="s">
        <v>3254</v>
      </c>
      <c r="J42" s="3456" t="s">
        <v>3247</v>
      </c>
      <c r="K42" s="3456" t="s">
        <v>3247</v>
      </c>
      <c r="N42" s="3456" t="s">
        <v>3255</v>
      </c>
      <c r="AJ42" s="3464" t="s">
        <v>3249</v>
      </c>
      <c r="AK42" s="3465">
        <v>1802</v>
      </c>
      <c r="AL42" s="3466">
        <v>89.44</v>
      </c>
      <c r="AM42" s="3467">
        <v>65.849999999999994</v>
      </c>
    </row>
    <row r="43" spans="1:39">
      <c r="A43" s="3456" t="s">
        <v>3256</v>
      </c>
      <c r="B43" s="3456">
        <v>29441.33</v>
      </c>
      <c r="H43" s="3456">
        <f t="shared" ref="H43:H47" si="13">SUM(B43:G43)</f>
        <v>29441.33</v>
      </c>
      <c r="J43" s="3456">
        <f>1151.59+1097.02</f>
        <v>2248.6099999999997</v>
      </c>
      <c r="K43" s="3456">
        <f>1816.54+914.87</f>
        <v>2731.41</v>
      </c>
      <c r="L43" s="3456">
        <f>SUM(I43:K43)</f>
        <v>4980.0199999999995</v>
      </c>
      <c r="M43" s="3456">
        <f>L43+H43</f>
        <v>34421.35</v>
      </c>
      <c r="AJ43" s="3464" t="s">
        <v>3249</v>
      </c>
      <c r="AK43" s="3465">
        <v>1803</v>
      </c>
      <c r="AL43" s="3466">
        <v>89.44</v>
      </c>
      <c r="AM43" s="3467">
        <v>65.849999999999994</v>
      </c>
    </row>
    <row r="44" spans="1:39">
      <c r="A44" s="3456" t="s">
        <v>3257</v>
      </c>
      <c r="B44" s="3456">
        <v>29441.33</v>
      </c>
      <c r="H44" s="3456">
        <f t="shared" si="13"/>
        <v>29441.33</v>
      </c>
      <c r="J44" s="3456">
        <f>1295.57+1672.45</f>
        <v>2968.02</v>
      </c>
      <c r="K44" s="3456">
        <f>1472.34+501.34</f>
        <v>1973.6799999999998</v>
      </c>
      <c r="L44" s="3456">
        <f>SUM(I44:K44)</f>
        <v>4941.7</v>
      </c>
      <c r="M44" s="3456">
        <f t="shared" ref="M44:M47" si="14">L44+H44</f>
        <v>34383.03</v>
      </c>
      <c r="N44" s="3456" t="s">
        <v>3258</v>
      </c>
      <c r="AJ44" s="3464" t="s">
        <v>3249</v>
      </c>
      <c r="AK44" s="3465">
        <v>1804</v>
      </c>
      <c r="AL44" s="3466">
        <v>89.44</v>
      </c>
      <c r="AM44" s="3467">
        <v>65.849999999999994</v>
      </c>
    </row>
    <row r="45" spans="1:39">
      <c r="A45" s="3456" t="s">
        <v>3259</v>
      </c>
      <c r="C45" s="3456">
        <f>29669.42</f>
        <v>29669.42</v>
      </c>
      <c r="H45" s="3456">
        <f t="shared" si="13"/>
        <v>29669.42</v>
      </c>
      <c r="J45" s="3456">
        <f>16173.99+12945.65+2410.21</f>
        <v>31529.85</v>
      </c>
      <c r="K45" s="3456">
        <f>10174.88+1219.9</f>
        <v>11394.779999999999</v>
      </c>
      <c r="L45" s="3456">
        <f>SUM(I45:K45)</f>
        <v>42924.63</v>
      </c>
      <c r="M45" s="3456">
        <f t="shared" si="14"/>
        <v>72594.049999999988</v>
      </c>
      <c r="N45" s="3456" t="s">
        <v>3258</v>
      </c>
      <c r="AJ45" s="3464" t="s">
        <v>3249</v>
      </c>
      <c r="AK45" s="3465">
        <v>1805</v>
      </c>
      <c r="AL45" s="3466">
        <v>89.44</v>
      </c>
      <c r="AM45" s="3467">
        <v>65.849999999999994</v>
      </c>
    </row>
    <row r="46" spans="1:39">
      <c r="A46" s="3456" t="s">
        <v>3260</v>
      </c>
      <c r="F46" s="3456">
        <v>35302.99</v>
      </c>
      <c r="H46" s="3456">
        <f t="shared" si="13"/>
        <v>35302.99</v>
      </c>
      <c r="L46" s="3456">
        <f t="shared" ref="L46:L47" si="15">SUM(I46:K46)</f>
        <v>0</v>
      </c>
      <c r="M46" s="3456">
        <f t="shared" si="14"/>
        <v>35302.99</v>
      </c>
      <c r="N46" s="3456" t="s">
        <v>3261</v>
      </c>
      <c r="AJ46" s="3464" t="s">
        <v>3249</v>
      </c>
      <c r="AK46" s="3465">
        <v>2005</v>
      </c>
      <c r="AL46" s="3466">
        <v>89.44</v>
      </c>
      <c r="AM46" s="3467">
        <v>65.849999999999994</v>
      </c>
    </row>
    <row r="47" spans="1:39">
      <c r="A47" s="3456" t="s">
        <v>3260</v>
      </c>
      <c r="F47" s="3456">
        <v>35093.660000000003</v>
      </c>
      <c r="H47" s="3456">
        <f t="shared" si="13"/>
        <v>35093.660000000003</v>
      </c>
      <c r="L47" s="3456">
        <f t="shared" si="15"/>
        <v>0</v>
      </c>
      <c r="M47" s="3456">
        <f t="shared" si="14"/>
        <v>35093.660000000003</v>
      </c>
      <c r="AJ47" s="3464" t="s">
        <v>3249</v>
      </c>
      <c r="AK47" s="3465">
        <v>2105</v>
      </c>
      <c r="AL47" s="3466">
        <v>89.44</v>
      </c>
      <c r="AM47" s="3467">
        <v>65.849999999999994</v>
      </c>
    </row>
    <row r="48" spans="1:39">
      <c r="A48" s="3484" t="s">
        <v>3238</v>
      </c>
      <c r="B48" s="3458"/>
      <c r="C48" s="3458"/>
      <c r="D48" s="3458"/>
      <c r="E48" s="3458"/>
      <c r="F48" s="3458"/>
      <c r="G48" s="3458"/>
      <c r="H48" s="3458"/>
      <c r="I48" s="3458"/>
      <c r="J48" s="3458"/>
      <c r="AJ48" s="3464" t="s">
        <v>3249</v>
      </c>
      <c r="AK48" s="3465">
        <v>2203</v>
      </c>
      <c r="AL48" s="3466">
        <v>89.44</v>
      </c>
      <c r="AM48" s="3467">
        <v>65.849999999999994</v>
      </c>
    </row>
    <row r="49" spans="1:39" s="3487" customFormat="1">
      <c r="A49" s="3486"/>
      <c r="B49" s="3458" t="s">
        <v>3239</v>
      </c>
      <c r="D49" s="3458"/>
      <c r="I49" s="3458" t="s">
        <v>3240</v>
      </c>
      <c r="J49" s="3458" t="s">
        <v>3241</v>
      </c>
      <c r="K49" s="3458"/>
      <c r="L49" s="3458" t="s">
        <v>3240</v>
      </c>
      <c r="M49" s="3458" t="s">
        <v>3233</v>
      </c>
      <c r="N49" s="3456"/>
      <c r="O49" s="3462"/>
      <c r="P49" s="3462"/>
      <c r="Q49" s="3462"/>
      <c r="R49" s="3462"/>
      <c r="S49" s="3462"/>
      <c r="T49" s="3462"/>
      <c r="U49" s="3462"/>
      <c r="V49" s="3462"/>
      <c r="W49" s="3462"/>
      <c r="X49" s="3462"/>
      <c r="Y49" s="3462"/>
      <c r="Z49" s="3462"/>
      <c r="AA49" s="3462"/>
      <c r="AB49" s="3479"/>
      <c r="AC49" s="3462"/>
      <c r="AD49" s="3462"/>
      <c r="AE49" s="3462"/>
      <c r="AF49" s="3480"/>
      <c r="AG49" s="3480"/>
      <c r="AI49" s="3458"/>
      <c r="AJ49" s="3464" t="s">
        <v>3249</v>
      </c>
      <c r="AK49" s="3465">
        <v>2204</v>
      </c>
      <c r="AL49" s="3466">
        <v>89.44</v>
      </c>
      <c r="AM49" s="3467">
        <v>65.849999999999994</v>
      </c>
    </row>
    <row r="50" spans="1:39" s="3487" customFormat="1">
      <c r="A50" s="3486"/>
      <c r="B50" s="3458" t="s">
        <v>3242</v>
      </c>
      <c r="C50" s="3458"/>
      <c r="D50" s="3458"/>
      <c r="G50" s="3458" t="s">
        <v>3243</v>
      </c>
      <c r="H50" s="3458" t="s">
        <v>3243</v>
      </c>
      <c r="J50" s="3458" t="s">
        <v>3242</v>
      </c>
      <c r="K50" s="3458" t="s">
        <v>3243</v>
      </c>
      <c r="L50" s="3458"/>
      <c r="M50" s="3458"/>
      <c r="O50" s="3487" t="s">
        <v>3262</v>
      </c>
      <c r="P50" s="3487" t="s">
        <v>3263</v>
      </c>
      <c r="AB50" s="3491"/>
      <c r="AI50" s="3458"/>
      <c r="AJ50" s="3464" t="s">
        <v>3249</v>
      </c>
      <c r="AK50" s="3465">
        <v>2205</v>
      </c>
      <c r="AL50" s="3466">
        <v>89.44</v>
      </c>
      <c r="AM50" s="3467">
        <v>65.849999999999994</v>
      </c>
    </row>
    <row r="51" spans="1:39" s="3487" customFormat="1">
      <c r="A51" s="3486"/>
      <c r="B51" s="3458" t="s">
        <v>3264</v>
      </c>
      <c r="C51" s="3487" t="s">
        <v>3265</v>
      </c>
      <c r="D51" s="3458" t="s">
        <v>3266</v>
      </c>
      <c r="E51" s="3487" t="s">
        <v>3267</v>
      </c>
      <c r="F51" s="3487" t="s">
        <v>3268</v>
      </c>
      <c r="G51" s="3458" t="s">
        <v>3245</v>
      </c>
      <c r="H51" s="3458" t="s">
        <v>3246</v>
      </c>
      <c r="J51" s="3458" t="s">
        <v>3247</v>
      </c>
      <c r="K51" s="3458" t="s">
        <v>3247</v>
      </c>
      <c r="L51" s="3458"/>
      <c r="M51" s="3458"/>
      <c r="N51" s="3458"/>
      <c r="O51" s="3458"/>
      <c r="AB51" s="3491"/>
      <c r="AI51" s="3458"/>
      <c r="AJ51" s="3464" t="s">
        <v>3249</v>
      </c>
      <c r="AK51" s="3465">
        <v>2302</v>
      </c>
      <c r="AL51" s="3466">
        <v>89.44</v>
      </c>
      <c r="AM51" s="3467">
        <v>65.849999999999994</v>
      </c>
    </row>
    <row r="52" spans="1:39" s="3487" customFormat="1">
      <c r="A52" s="3486" t="s">
        <v>3250</v>
      </c>
      <c r="B52" s="3458">
        <v>61366.87</v>
      </c>
      <c r="C52" s="3487">
        <v>59090.52</v>
      </c>
      <c r="D52" s="3458">
        <v>10614.69</v>
      </c>
      <c r="E52" s="3458">
        <v>64550.51</v>
      </c>
      <c r="F52" s="3458">
        <v>3708.97</v>
      </c>
      <c r="G52" s="3458">
        <v>9000.11</v>
      </c>
      <c r="H52" s="3458">
        <f>70396.65-O53</f>
        <v>46804.149999999994</v>
      </c>
      <c r="I52" s="3487">
        <f>SUM(B52:H52)</f>
        <v>255135.81999999998</v>
      </c>
      <c r="J52" s="3458">
        <f>3045.41+1190+239.95+217.15+554.46+473.07</f>
        <v>5720.0399999999991</v>
      </c>
      <c r="K52" s="3487">
        <f>6569.96+6427.64</f>
        <v>12997.6</v>
      </c>
      <c r="L52" s="3458">
        <f>J52+K52</f>
        <v>18717.64</v>
      </c>
      <c r="M52" s="3457">
        <f>L52+I52</f>
        <v>273853.45999999996</v>
      </c>
      <c r="N52" s="3458" t="s">
        <v>3248</v>
      </c>
      <c r="AB52" s="3491"/>
      <c r="AI52" s="3458"/>
      <c r="AJ52" s="3464" t="s">
        <v>3249</v>
      </c>
      <c r="AK52" s="3465">
        <v>2303</v>
      </c>
      <c r="AL52" s="3466">
        <v>89.44</v>
      </c>
      <c r="AM52" s="3467">
        <v>65.849999999999994</v>
      </c>
    </row>
    <row r="53" spans="1:39">
      <c r="A53" s="3486"/>
      <c r="B53" s="3458"/>
      <c r="C53" s="3487"/>
      <c r="D53" s="3458"/>
      <c r="E53" s="3458"/>
      <c r="F53" s="3458"/>
      <c r="G53" s="3458"/>
      <c r="H53" s="3458"/>
      <c r="I53" s="3458"/>
      <c r="J53" s="3458"/>
      <c r="N53" s="3458">
        <v>1918</v>
      </c>
      <c r="O53" s="3487">
        <v>23592.5</v>
      </c>
      <c r="P53" s="3487">
        <f>O53+M52</f>
        <v>297445.95999999996</v>
      </c>
      <c r="Q53" s="3487"/>
      <c r="R53" s="3487"/>
      <c r="S53" s="3487"/>
      <c r="T53" s="3487"/>
      <c r="U53" s="3487"/>
      <c r="V53" s="3487"/>
      <c r="W53" s="3487"/>
      <c r="X53" s="3487"/>
      <c r="Y53" s="3487"/>
      <c r="Z53" s="3487"/>
      <c r="AA53" s="3487"/>
      <c r="AB53" s="3491"/>
      <c r="AC53" s="3487"/>
      <c r="AD53" s="3487"/>
      <c r="AE53" s="3487"/>
      <c r="AF53" s="3487"/>
      <c r="AG53" s="3487"/>
      <c r="AJ53" s="3464" t="s">
        <v>3249</v>
      </c>
      <c r="AK53" s="3465">
        <v>2304</v>
      </c>
      <c r="AL53" s="3466">
        <v>89.44</v>
      </c>
      <c r="AM53" s="3467">
        <v>65.849999999999994</v>
      </c>
    </row>
    <row r="54" spans="1:39">
      <c r="A54" s="3486"/>
      <c r="B54" s="3458"/>
      <c r="C54" s="3487"/>
      <c r="D54" s="3458"/>
      <c r="E54" s="3458"/>
      <c r="F54" s="3458"/>
      <c r="G54" s="3458"/>
      <c r="H54" s="3458"/>
      <c r="I54" s="3458"/>
      <c r="J54" s="3458"/>
      <c r="AJ54" s="3464" t="s">
        <v>3249</v>
      </c>
      <c r="AK54" s="3465">
        <v>2401</v>
      </c>
      <c r="AL54" s="3466">
        <v>89.44</v>
      </c>
      <c r="AM54" s="3467">
        <v>65.849999999999994</v>
      </c>
    </row>
    <row r="55" spans="1:39">
      <c r="A55" s="3486"/>
      <c r="B55" s="3458"/>
      <c r="C55" s="3487"/>
      <c r="D55" s="3458"/>
      <c r="E55" s="3458"/>
      <c r="F55" s="3458"/>
      <c r="G55" s="3458"/>
      <c r="H55" s="3458"/>
      <c r="I55" s="3458"/>
      <c r="J55" s="3458"/>
      <c r="AJ55" s="3464" t="s">
        <v>3249</v>
      </c>
      <c r="AK55" s="3465">
        <v>2402</v>
      </c>
      <c r="AL55" s="3466">
        <v>89.44</v>
      </c>
      <c r="AM55" s="3467">
        <v>65.849999999999994</v>
      </c>
    </row>
    <row r="56" spans="1:39">
      <c r="A56" s="3455" t="s">
        <v>3269</v>
      </c>
      <c r="B56" s="3456" t="s">
        <v>3126</v>
      </c>
      <c r="C56" s="3492">
        <v>45234.55</v>
      </c>
      <c r="AJ56" s="3464" t="s">
        <v>3249</v>
      </c>
      <c r="AK56" s="3465">
        <v>2403</v>
      </c>
      <c r="AL56" s="3466">
        <v>89.44</v>
      </c>
      <c r="AM56" s="3467">
        <v>65.849999999999994</v>
      </c>
    </row>
    <row r="57" spans="1:39">
      <c r="A57" s="3456" t="s">
        <v>3270</v>
      </c>
      <c r="AJ57" s="3464" t="s">
        <v>3249</v>
      </c>
      <c r="AK57" s="3465">
        <v>2404</v>
      </c>
      <c r="AL57" s="3466">
        <v>89.44</v>
      </c>
      <c r="AM57" s="3467">
        <v>65.849999999999994</v>
      </c>
    </row>
    <row r="58" spans="1:39">
      <c r="B58" s="3456" t="s">
        <v>3239</v>
      </c>
      <c r="D58" s="3456" t="s">
        <v>3240</v>
      </c>
      <c r="E58" s="3456" t="s">
        <v>3241</v>
      </c>
      <c r="H58" s="3456" t="s">
        <v>3240</v>
      </c>
      <c r="I58" s="3456" t="s">
        <v>3233</v>
      </c>
      <c r="K58" s="3462"/>
      <c r="L58" s="3462"/>
      <c r="M58" s="3462"/>
      <c r="AJ58" s="3464" t="s">
        <v>3249</v>
      </c>
      <c r="AK58" s="3465">
        <v>2405</v>
      </c>
      <c r="AL58" s="3466">
        <v>89.44</v>
      </c>
      <c r="AM58" s="3467">
        <v>65.849999999999994</v>
      </c>
    </row>
    <row r="59" spans="1:39">
      <c r="B59" s="3456" t="s">
        <v>3242</v>
      </c>
      <c r="E59" s="3456" t="s">
        <v>3242</v>
      </c>
      <c r="F59" s="3456" t="s">
        <v>3242</v>
      </c>
      <c r="G59" s="3456" t="s">
        <v>3243</v>
      </c>
      <c r="K59" s="3462"/>
      <c r="L59" s="3462"/>
      <c r="M59" s="3462"/>
      <c r="N59" s="3462"/>
      <c r="AJ59" s="3464" t="s">
        <v>3249</v>
      </c>
      <c r="AK59" s="3465">
        <v>2502</v>
      </c>
      <c r="AL59" s="3466">
        <v>89.44</v>
      </c>
      <c r="AM59" s="3467">
        <v>65.849999999999994</v>
      </c>
    </row>
    <row r="60" spans="1:39">
      <c r="B60" s="3456" t="s">
        <v>3244</v>
      </c>
      <c r="C60" s="3456" t="s">
        <v>3245</v>
      </c>
      <c r="E60" s="3456" t="s">
        <v>3254</v>
      </c>
      <c r="F60" s="3456" t="s">
        <v>3247</v>
      </c>
      <c r="G60" s="3456" t="s">
        <v>3247</v>
      </c>
      <c r="K60" s="3462"/>
      <c r="L60" s="3462"/>
      <c r="M60" s="3462"/>
      <c r="N60" s="3462"/>
      <c r="AJ60" s="3464" t="s">
        <v>3249</v>
      </c>
      <c r="AK60" s="3465">
        <v>2506</v>
      </c>
      <c r="AL60" s="3466">
        <v>89.44</v>
      </c>
      <c r="AM60" s="3467">
        <v>65.849999999999994</v>
      </c>
    </row>
    <row r="61" spans="1:39" s="3494" customFormat="1">
      <c r="A61" s="3493" t="s">
        <v>3271</v>
      </c>
      <c r="B61" s="3493">
        <f>[2]C1!$J$33</f>
        <v>9883.5000000000018</v>
      </c>
      <c r="C61" s="3493">
        <f>[2]C1!$J$44</f>
        <v>476.53999999999996</v>
      </c>
      <c r="D61" s="3493">
        <f t="shared" ref="D61:D70" si="16">SUM(B61:C61)</f>
        <v>10360.040000000001</v>
      </c>
      <c r="E61" s="3493"/>
      <c r="F61" s="3493">
        <f>[2]C1!$J$41</f>
        <v>367.31</v>
      </c>
      <c r="G61" s="3493"/>
      <c r="H61" s="3493">
        <f>SUM(E61:G61)</f>
        <v>367.31</v>
      </c>
      <c r="I61" s="3493">
        <f>H61+D61</f>
        <v>10727.35</v>
      </c>
      <c r="J61" s="3493" t="s">
        <v>3181</v>
      </c>
      <c r="N61" s="3462"/>
      <c r="O61" s="3462"/>
      <c r="P61" s="3462"/>
      <c r="Q61" s="3462"/>
      <c r="R61" s="3462"/>
      <c r="S61" s="3462"/>
      <c r="T61" s="3462"/>
      <c r="U61" s="3462"/>
      <c r="V61" s="3462"/>
      <c r="W61" s="3462"/>
      <c r="X61" s="3462"/>
      <c r="Y61" s="3462"/>
      <c r="Z61" s="3462"/>
      <c r="AA61" s="3462"/>
      <c r="AB61" s="3479"/>
      <c r="AC61" s="3462"/>
      <c r="AD61" s="3462"/>
      <c r="AE61" s="3462"/>
      <c r="AF61" s="3480"/>
      <c r="AG61" s="3480"/>
      <c r="AI61" s="3493"/>
      <c r="AJ61" s="3464" t="s">
        <v>3272</v>
      </c>
      <c r="AK61" s="3465">
        <v>201</v>
      </c>
      <c r="AL61" s="3466">
        <v>109.52</v>
      </c>
      <c r="AM61" s="3467">
        <v>79.459999999999994</v>
      </c>
    </row>
    <row r="62" spans="1:39" s="3494" customFormat="1">
      <c r="A62" s="3493" t="s">
        <v>3273</v>
      </c>
      <c r="B62" s="3493">
        <f>[2]C2!$J$33</f>
        <v>9886.9999999999945</v>
      </c>
      <c r="C62" s="3493">
        <f>[2]C2!$J$44</f>
        <v>273.64999999999998</v>
      </c>
      <c r="D62" s="3493">
        <f t="shared" si="16"/>
        <v>10160.649999999994</v>
      </c>
      <c r="E62" s="3493"/>
      <c r="F62" s="3493">
        <f>[2]C2!$J$41</f>
        <v>393.19000000000005</v>
      </c>
      <c r="G62" s="3493"/>
      <c r="H62" s="3493">
        <f t="shared" ref="H62:H70" si="17">SUM(E62:G62)</f>
        <v>393.19000000000005</v>
      </c>
      <c r="I62" s="3493">
        <f>H62+D62</f>
        <v>10553.839999999995</v>
      </c>
      <c r="J62" s="3493" t="s">
        <v>3274</v>
      </c>
      <c r="AB62" s="3495"/>
      <c r="AI62" s="3493"/>
      <c r="AJ62" s="3464" t="s">
        <v>3272</v>
      </c>
      <c r="AK62" s="3465">
        <v>203</v>
      </c>
      <c r="AL62" s="3466">
        <v>88.25</v>
      </c>
      <c r="AM62" s="3467">
        <v>64.03</v>
      </c>
    </row>
    <row r="63" spans="1:39" s="3494" customFormat="1">
      <c r="A63" s="3493" t="s">
        <v>3275</v>
      </c>
      <c r="B63" s="3493">
        <f>[2]C3!$J$33</f>
        <v>10555.000000000002</v>
      </c>
      <c r="C63" s="3493"/>
      <c r="D63" s="3493">
        <f t="shared" si="16"/>
        <v>10555.000000000002</v>
      </c>
      <c r="E63" s="3493"/>
      <c r="F63" s="3493">
        <f>[2]C3!$J$41</f>
        <v>420.04</v>
      </c>
      <c r="G63" s="3493"/>
      <c r="H63" s="3493">
        <f t="shared" si="17"/>
        <v>420.04</v>
      </c>
      <c r="I63" s="3493">
        <f t="shared" ref="I63:I70" si="18">H63+D63</f>
        <v>10975.040000000003</v>
      </c>
      <c r="J63" s="3493" t="s">
        <v>3174</v>
      </c>
      <c r="AB63" s="3495"/>
      <c r="AI63" s="3493"/>
      <c r="AJ63" s="3464" t="s">
        <v>3272</v>
      </c>
      <c r="AK63" s="3465">
        <v>204</v>
      </c>
      <c r="AL63" s="3466">
        <v>109.52</v>
      </c>
      <c r="AM63" s="3467">
        <v>79.459999999999994</v>
      </c>
    </row>
    <row r="64" spans="1:39" s="3494" customFormat="1">
      <c r="A64" s="3493" t="s">
        <v>3276</v>
      </c>
      <c r="B64" s="3493">
        <f>[2]C4!$J$33</f>
        <v>11823.760000000004</v>
      </c>
      <c r="C64" s="3493"/>
      <c r="D64" s="3493">
        <f t="shared" si="16"/>
        <v>11823.760000000004</v>
      </c>
      <c r="E64" s="3493"/>
      <c r="F64" s="3493">
        <f>[2]C4!$J$41</f>
        <v>4.33</v>
      </c>
      <c r="G64" s="3493"/>
      <c r="H64" s="3493">
        <f t="shared" si="17"/>
        <v>4.33</v>
      </c>
      <c r="I64" s="3493">
        <f t="shared" si="18"/>
        <v>11828.090000000004</v>
      </c>
      <c r="J64" s="3493" t="s">
        <v>3274</v>
      </c>
      <c r="AB64" s="3495"/>
      <c r="AI64" s="3493"/>
      <c r="AJ64" s="3464" t="s">
        <v>3272</v>
      </c>
      <c r="AK64" s="3465">
        <v>304</v>
      </c>
      <c r="AL64" s="3466">
        <v>109.52</v>
      </c>
      <c r="AM64" s="3467">
        <v>79.459999999999994</v>
      </c>
    </row>
    <row r="65" spans="1:39" s="3494" customFormat="1">
      <c r="A65" s="3493" t="s">
        <v>3277</v>
      </c>
      <c r="B65" s="3493">
        <f>[2]C5!$J$33</f>
        <v>11823.760000000004</v>
      </c>
      <c r="C65" s="3493"/>
      <c r="D65" s="3493">
        <f t="shared" si="16"/>
        <v>11823.760000000004</v>
      </c>
      <c r="E65" s="3493"/>
      <c r="F65" s="3493">
        <f>[2]C5!$J$41</f>
        <v>4.33</v>
      </c>
      <c r="G65" s="3493"/>
      <c r="H65" s="3493">
        <f t="shared" si="17"/>
        <v>4.33</v>
      </c>
      <c r="I65" s="3493">
        <f t="shared" si="18"/>
        <v>11828.090000000004</v>
      </c>
      <c r="J65" s="3493" t="s">
        <v>3181</v>
      </c>
      <c r="AB65" s="3495"/>
      <c r="AI65" s="3493"/>
      <c r="AJ65" s="3464" t="s">
        <v>3272</v>
      </c>
      <c r="AK65" s="3465">
        <v>404</v>
      </c>
      <c r="AL65" s="3466">
        <v>109.52</v>
      </c>
      <c r="AM65" s="3467">
        <v>79.459999999999994</v>
      </c>
    </row>
    <row r="66" spans="1:39" s="3494" customFormat="1">
      <c r="A66" s="3493" t="s">
        <v>3278</v>
      </c>
      <c r="B66" s="3493">
        <f>[2]C6!$J$33</f>
        <v>9888.5000000000036</v>
      </c>
      <c r="C66" s="3493"/>
      <c r="D66" s="3493">
        <f t="shared" si="16"/>
        <v>9888.5000000000036</v>
      </c>
      <c r="E66" s="3493"/>
      <c r="F66" s="3493">
        <f>[2]C6!$J$41</f>
        <v>298.79000000000002</v>
      </c>
      <c r="G66" s="3493"/>
      <c r="H66" s="3493">
        <f t="shared" si="17"/>
        <v>298.79000000000002</v>
      </c>
      <c r="I66" s="3493">
        <f t="shared" si="18"/>
        <v>10187.290000000005</v>
      </c>
      <c r="J66" s="3493" t="s">
        <v>3181</v>
      </c>
      <c r="AB66" s="3495"/>
      <c r="AI66" s="3493"/>
      <c r="AJ66" s="3464" t="s">
        <v>3272</v>
      </c>
      <c r="AK66" s="3465">
        <v>504</v>
      </c>
      <c r="AL66" s="3466">
        <v>109.52</v>
      </c>
      <c r="AM66" s="3467">
        <v>79.459999999999994</v>
      </c>
    </row>
    <row r="67" spans="1:39" s="3494" customFormat="1">
      <c r="A67" s="3493" t="s">
        <v>3279</v>
      </c>
      <c r="B67" s="3493">
        <f>[2]C7!$J$33</f>
        <v>9978.6599999999962</v>
      </c>
      <c r="C67" s="3493"/>
      <c r="D67" s="3493">
        <f t="shared" si="16"/>
        <v>9978.6599999999962</v>
      </c>
      <c r="E67" s="3493"/>
      <c r="F67" s="3493">
        <f>[2]C7!$J$41</f>
        <v>193.78</v>
      </c>
      <c r="G67" s="3493"/>
      <c r="H67" s="3493">
        <f t="shared" si="17"/>
        <v>193.78</v>
      </c>
      <c r="I67" s="3493">
        <f t="shared" si="18"/>
        <v>10172.439999999997</v>
      </c>
      <c r="J67" s="3493" t="s">
        <v>3181</v>
      </c>
      <c r="AB67" s="3495"/>
      <c r="AI67" s="3493"/>
      <c r="AJ67" s="3464" t="s">
        <v>3272</v>
      </c>
      <c r="AK67" s="3465">
        <v>604</v>
      </c>
      <c r="AL67" s="3466">
        <v>109.52</v>
      </c>
      <c r="AM67" s="3467">
        <v>79.459999999999994</v>
      </c>
    </row>
    <row r="68" spans="1:39" s="3494" customFormat="1">
      <c r="A68" s="3493" t="s">
        <v>3280</v>
      </c>
      <c r="B68" s="3493">
        <f>[2]C8!$J$33</f>
        <v>12627.159999999998</v>
      </c>
      <c r="C68" s="3493"/>
      <c r="D68" s="3493">
        <f t="shared" si="16"/>
        <v>12627.159999999998</v>
      </c>
      <c r="E68" s="3493"/>
      <c r="F68" s="3493">
        <f>[2]C8!$J$41</f>
        <v>4.33</v>
      </c>
      <c r="G68" s="3493"/>
      <c r="H68" s="3493">
        <f t="shared" si="17"/>
        <v>4.33</v>
      </c>
      <c r="I68" s="3493">
        <f t="shared" si="18"/>
        <v>12631.489999999998</v>
      </c>
      <c r="J68" s="3493" t="s">
        <v>3281</v>
      </c>
      <c r="AB68" s="3495"/>
      <c r="AI68" s="3493"/>
      <c r="AJ68" s="3464" t="s">
        <v>3272</v>
      </c>
      <c r="AK68" s="3465">
        <v>701</v>
      </c>
      <c r="AL68" s="3466">
        <v>109.52</v>
      </c>
      <c r="AM68" s="3467">
        <v>79.459999999999994</v>
      </c>
    </row>
    <row r="69" spans="1:39" s="3497" customFormat="1">
      <c r="A69" s="3496" t="s">
        <v>3282</v>
      </c>
      <c r="B69" s="3496">
        <f>[2]C9!$J$33</f>
        <v>13415.999999999996</v>
      </c>
      <c r="C69" s="3496"/>
      <c r="D69" s="3496">
        <f t="shared" si="16"/>
        <v>13415.999999999996</v>
      </c>
      <c r="E69" s="3496"/>
      <c r="F69" s="3496">
        <f>[2]C9!$J$41</f>
        <v>4.33</v>
      </c>
      <c r="G69" s="3496"/>
      <c r="H69" s="3496">
        <f t="shared" si="17"/>
        <v>4.33</v>
      </c>
      <c r="I69" s="3496">
        <f t="shared" si="18"/>
        <v>13420.329999999996</v>
      </c>
      <c r="J69" s="3496" t="s">
        <v>3283</v>
      </c>
      <c r="N69" s="3494"/>
      <c r="O69" s="3494"/>
      <c r="P69" s="3494"/>
      <c r="Q69" s="3494"/>
      <c r="R69" s="3494"/>
      <c r="S69" s="3494"/>
      <c r="T69" s="3494"/>
      <c r="U69" s="3494"/>
      <c r="V69" s="3494"/>
      <c r="W69" s="3494"/>
      <c r="X69" s="3494"/>
      <c r="Y69" s="3494"/>
      <c r="Z69" s="3494"/>
      <c r="AA69" s="3494"/>
      <c r="AB69" s="3495"/>
      <c r="AC69" s="3494"/>
      <c r="AD69" s="3494"/>
      <c r="AE69" s="3494"/>
      <c r="AF69" s="3494"/>
      <c r="AG69" s="3494"/>
      <c r="AI69" s="3496"/>
      <c r="AJ69" s="3464" t="s">
        <v>3272</v>
      </c>
      <c r="AK69" s="3465">
        <v>702</v>
      </c>
      <c r="AL69" s="3466">
        <v>88.25</v>
      </c>
      <c r="AM69" s="3467">
        <v>64.03</v>
      </c>
    </row>
    <row r="70" spans="1:39" s="3494" customFormat="1">
      <c r="A70" s="3493" t="s">
        <v>3284</v>
      </c>
      <c r="B70" s="3493">
        <f>[2]C10!$J$33</f>
        <v>12143.499999999996</v>
      </c>
      <c r="C70" s="3493"/>
      <c r="D70" s="3493">
        <f t="shared" si="16"/>
        <v>12143.499999999996</v>
      </c>
      <c r="E70" s="3493"/>
      <c r="F70" s="3493">
        <f>[2]C10!$J$41</f>
        <v>7.37</v>
      </c>
      <c r="G70" s="3493"/>
      <c r="H70" s="3493">
        <f t="shared" si="17"/>
        <v>7.37</v>
      </c>
      <c r="I70" s="3493">
        <f t="shared" si="18"/>
        <v>12150.869999999997</v>
      </c>
      <c r="J70" s="3493" t="s">
        <v>3285</v>
      </c>
      <c r="N70" s="3497"/>
      <c r="O70" s="3497"/>
      <c r="P70" s="3497"/>
      <c r="Q70" s="3497"/>
      <c r="R70" s="3497"/>
      <c r="S70" s="3497"/>
      <c r="T70" s="3497"/>
      <c r="U70" s="3497"/>
      <c r="V70" s="3497"/>
      <c r="W70" s="3497"/>
      <c r="X70" s="3497"/>
      <c r="Y70" s="3497"/>
      <c r="Z70" s="3497"/>
      <c r="AA70" s="3497"/>
      <c r="AB70" s="3498"/>
      <c r="AC70" s="3497"/>
      <c r="AD70" s="3497"/>
      <c r="AE70" s="3497"/>
      <c r="AF70" s="3497"/>
      <c r="AG70" s="3497"/>
      <c r="AI70" s="3493"/>
      <c r="AJ70" s="3464" t="s">
        <v>3272</v>
      </c>
      <c r="AK70" s="3465">
        <v>704</v>
      </c>
      <c r="AL70" s="3466">
        <v>109.52</v>
      </c>
      <c r="AM70" s="3467">
        <v>79.459999999999994</v>
      </c>
    </row>
    <row r="71" spans="1:39">
      <c r="A71" s="3456" t="s">
        <v>3286</v>
      </c>
      <c r="B71" s="3456">
        <f>SUM(B61:B70)</f>
        <v>112026.84</v>
      </c>
      <c r="C71" s="3456">
        <f>SUM(C61:C70)</f>
        <v>750.18999999999994</v>
      </c>
      <c r="D71" s="3456">
        <f>SUM(D61:D70)</f>
        <v>112777.03</v>
      </c>
      <c r="E71" s="3456">
        <f t="shared" ref="E71:H71" si="19">SUM(E61:E70)</f>
        <v>0</v>
      </c>
      <c r="F71" s="3456">
        <f>SUM(F61:F70)</f>
        <v>1697.7999999999995</v>
      </c>
      <c r="G71" s="3456">
        <f t="shared" si="19"/>
        <v>0</v>
      </c>
      <c r="H71" s="3456">
        <f t="shared" si="19"/>
        <v>1697.7999999999995</v>
      </c>
      <c r="I71" s="3456">
        <f>SUM(I61:I70)</f>
        <v>114474.83</v>
      </c>
      <c r="K71" s="3462"/>
      <c r="L71" s="3462"/>
      <c r="M71" s="3462"/>
      <c r="N71" s="3494"/>
      <c r="O71" s="3494"/>
      <c r="P71" s="3494"/>
      <c r="Q71" s="3494"/>
      <c r="R71" s="3494"/>
      <c r="S71" s="3494"/>
      <c r="T71" s="3494"/>
      <c r="U71" s="3494"/>
      <c r="V71" s="3494"/>
      <c r="W71" s="3494"/>
      <c r="X71" s="3494"/>
      <c r="Y71" s="3494"/>
      <c r="Z71" s="3494"/>
      <c r="AA71" s="3494"/>
      <c r="AB71" s="3495"/>
      <c r="AC71" s="3494"/>
      <c r="AD71" s="3494"/>
      <c r="AE71" s="3494"/>
      <c r="AF71" s="3494"/>
      <c r="AG71" s="3494"/>
      <c r="AJ71" s="3464" t="s">
        <v>3272</v>
      </c>
      <c r="AK71" s="3465">
        <v>801</v>
      </c>
      <c r="AL71" s="3466">
        <v>109.52</v>
      </c>
      <c r="AM71" s="3467">
        <v>79.459999999999994</v>
      </c>
    </row>
    <row r="72" spans="1:39">
      <c r="N72" s="3462"/>
      <c r="AJ72" s="3464" t="s">
        <v>3272</v>
      </c>
      <c r="AK72" s="3465">
        <v>802</v>
      </c>
      <c r="AL72" s="3466">
        <v>88.25</v>
      </c>
      <c r="AM72" s="3467">
        <v>64.03</v>
      </c>
    </row>
    <row r="73" spans="1:39">
      <c r="AJ73" s="3464" t="s">
        <v>3272</v>
      </c>
      <c r="AK73" s="3465">
        <v>803</v>
      </c>
      <c r="AL73" s="3466">
        <v>88.25</v>
      </c>
      <c r="AM73" s="3467">
        <v>64.03</v>
      </c>
    </row>
    <row r="74" spans="1:39">
      <c r="A74" s="3458" t="s">
        <v>3287</v>
      </c>
      <c r="B74" s="3458"/>
      <c r="C74" s="3458"/>
      <c r="D74" s="3458"/>
      <c r="E74" s="3458"/>
      <c r="F74" s="3458"/>
      <c r="G74" s="3458"/>
      <c r="H74" s="3458"/>
      <c r="I74" s="3458"/>
      <c r="AJ74" s="3464" t="s">
        <v>3272</v>
      </c>
      <c r="AK74" s="3465">
        <v>804</v>
      </c>
      <c r="AL74" s="3466">
        <v>109.52</v>
      </c>
      <c r="AM74" s="3467">
        <v>79.459999999999994</v>
      </c>
    </row>
    <row r="75" spans="1:39">
      <c r="A75" s="3458"/>
      <c r="B75" s="3458" t="s">
        <v>3288</v>
      </c>
      <c r="C75" s="3458"/>
      <c r="D75" s="3487"/>
      <c r="E75" s="3458" t="s">
        <v>3289</v>
      </c>
      <c r="F75" s="3458" t="s">
        <v>3290</v>
      </c>
      <c r="G75" s="3458" t="s">
        <v>3289</v>
      </c>
      <c r="H75" s="3458" t="s">
        <v>3286</v>
      </c>
      <c r="I75" s="3458"/>
      <c r="AJ75" s="3464" t="s">
        <v>3272</v>
      </c>
      <c r="AK75" s="3465">
        <v>901</v>
      </c>
      <c r="AL75" s="3466">
        <v>109.52</v>
      </c>
      <c r="AM75" s="3467">
        <v>79.459999999999994</v>
      </c>
    </row>
    <row r="76" spans="1:39">
      <c r="A76" s="3458"/>
      <c r="B76" s="3458" t="s">
        <v>3291</v>
      </c>
      <c r="C76" s="3458"/>
      <c r="D76" s="3458" t="s">
        <v>3292</v>
      </c>
      <c r="E76" s="3458"/>
      <c r="F76" s="3458" t="s">
        <v>3291</v>
      </c>
      <c r="G76" s="3458"/>
      <c r="H76" s="3458"/>
      <c r="I76" s="3458"/>
      <c r="AJ76" s="3464" t="s">
        <v>3272</v>
      </c>
      <c r="AK76" s="3465">
        <v>902</v>
      </c>
      <c r="AL76" s="3466">
        <v>88.25</v>
      </c>
      <c r="AM76" s="3467">
        <v>64.03</v>
      </c>
    </row>
    <row r="77" spans="1:39">
      <c r="A77" s="3458"/>
      <c r="B77" s="3458" t="s">
        <v>3293</v>
      </c>
      <c r="C77" s="3458" t="s">
        <v>3294</v>
      </c>
      <c r="D77" s="3458" t="s">
        <v>3295</v>
      </c>
      <c r="E77" s="3458"/>
      <c r="F77" s="3458" t="s">
        <v>3296</v>
      </c>
      <c r="G77" s="3458"/>
      <c r="H77" s="3458"/>
      <c r="I77" s="3458"/>
      <c r="AJ77" s="3464" t="s">
        <v>3272</v>
      </c>
      <c r="AK77" s="3465">
        <v>904</v>
      </c>
      <c r="AL77" s="3466">
        <v>109.52</v>
      </c>
      <c r="AM77" s="3467">
        <v>79.459999999999994</v>
      </c>
    </row>
    <row r="78" spans="1:39">
      <c r="A78" s="3458" t="s">
        <v>3297</v>
      </c>
      <c r="B78" s="3458"/>
      <c r="C78" s="3458"/>
      <c r="D78" s="3458"/>
      <c r="E78" s="3458"/>
      <c r="F78" s="3458">
        <v>75.2</v>
      </c>
      <c r="G78" s="3458">
        <f t="shared" ref="G78:G83" si="20">F78</f>
        <v>75.2</v>
      </c>
      <c r="H78" s="3458">
        <f>G78+E78</f>
        <v>75.2</v>
      </c>
      <c r="I78" s="3458"/>
      <c r="J78" s="3462"/>
      <c r="AJ78" s="3464" t="s">
        <v>3272</v>
      </c>
      <c r="AK78" s="3465">
        <v>1001</v>
      </c>
      <c r="AL78" s="3466">
        <v>109.52</v>
      </c>
      <c r="AM78" s="3467">
        <v>79.459999999999994</v>
      </c>
    </row>
    <row r="79" spans="1:39">
      <c r="A79" s="3458" t="s">
        <v>3298</v>
      </c>
      <c r="B79" s="3458"/>
      <c r="C79" s="3458"/>
      <c r="D79" s="3458"/>
      <c r="E79" s="3458"/>
      <c r="F79" s="3458">
        <v>332.37</v>
      </c>
      <c r="G79" s="3458">
        <f t="shared" si="20"/>
        <v>332.37</v>
      </c>
      <c r="H79" s="3458">
        <f t="shared" ref="H79:H83" si="21">G79+E79</f>
        <v>332.37</v>
      </c>
      <c r="I79" s="3458"/>
      <c r="J79" s="3462"/>
      <c r="AJ79" s="3464" t="s">
        <v>3272</v>
      </c>
      <c r="AK79" s="3465">
        <v>1002</v>
      </c>
      <c r="AL79" s="3466">
        <v>88.25</v>
      </c>
      <c r="AM79" s="3467">
        <v>64.03</v>
      </c>
    </row>
    <row r="80" spans="1:39">
      <c r="A80" s="3458" t="s">
        <v>3299</v>
      </c>
      <c r="B80" s="3458"/>
      <c r="C80" s="3458"/>
      <c r="D80" s="3458"/>
      <c r="E80" s="3458"/>
      <c r="F80" s="3458">
        <v>199.76</v>
      </c>
      <c r="G80" s="3458">
        <f t="shared" si="20"/>
        <v>199.76</v>
      </c>
      <c r="H80" s="3458">
        <f t="shared" si="21"/>
        <v>199.76</v>
      </c>
      <c r="I80" s="3458"/>
      <c r="J80" s="3462"/>
      <c r="AJ80" s="3464" t="s">
        <v>3272</v>
      </c>
      <c r="AK80" s="3465">
        <v>1004</v>
      </c>
      <c r="AL80" s="3466">
        <v>109.52</v>
      </c>
      <c r="AM80" s="3467">
        <v>79.459999999999994</v>
      </c>
    </row>
    <row r="81" spans="1:39">
      <c r="A81" s="3458" t="s">
        <v>3300</v>
      </c>
      <c r="B81" s="3458"/>
      <c r="C81" s="3458"/>
      <c r="D81" s="3458"/>
      <c r="E81" s="3458"/>
      <c r="F81" s="3458">
        <v>199.76</v>
      </c>
      <c r="G81" s="3458">
        <f t="shared" si="20"/>
        <v>199.76</v>
      </c>
      <c r="H81" s="3458">
        <f t="shared" si="21"/>
        <v>199.76</v>
      </c>
      <c r="I81" s="3458"/>
      <c r="J81" s="3462"/>
      <c r="AJ81" s="3464" t="s">
        <v>3272</v>
      </c>
      <c r="AK81" s="3465">
        <v>1101</v>
      </c>
      <c r="AL81" s="3466">
        <v>109.52</v>
      </c>
      <c r="AM81" s="3467">
        <v>79.459999999999994</v>
      </c>
    </row>
    <row r="82" spans="1:39">
      <c r="A82" s="3458" t="s">
        <v>3301</v>
      </c>
      <c r="B82" s="3458"/>
      <c r="C82" s="3458"/>
      <c r="D82" s="3458">
        <v>37837.25</v>
      </c>
      <c r="E82" s="3458">
        <f>SUM(B82:D82)</f>
        <v>37837.25</v>
      </c>
      <c r="F82" s="3487"/>
      <c r="G82" s="3458">
        <f t="shared" si="20"/>
        <v>0</v>
      </c>
      <c r="H82" s="3458">
        <f t="shared" si="21"/>
        <v>37837.25</v>
      </c>
      <c r="I82" s="3487"/>
      <c r="AJ82" s="3464" t="s">
        <v>3272</v>
      </c>
      <c r="AK82" s="3465">
        <v>1102</v>
      </c>
      <c r="AL82" s="3466">
        <v>88.25</v>
      </c>
      <c r="AM82" s="3467">
        <v>64.03</v>
      </c>
    </row>
    <row r="83" spans="1:39">
      <c r="A83" s="3458" t="s">
        <v>3302</v>
      </c>
      <c r="B83" s="3458">
        <v>28081.94</v>
      </c>
      <c r="C83" s="3458">
        <f t="shared" ref="C83" si="22">SUM(C70:C82)</f>
        <v>750.18999999999994</v>
      </c>
      <c r="D83" s="3458"/>
      <c r="E83" s="3458">
        <f>SUM(B83:D83)</f>
        <v>28832.129999999997</v>
      </c>
      <c r="F83" s="3458"/>
      <c r="G83" s="3458">
        <f t="shared" si="20"/>
        <v>0</v>
      </c>
      <c r="H83" s="3458">
        <f t="shared" si="21"/>
        <v>28832.129999999997</v>
      </c>
      <c r="I83" s="3458" t="s">
        <v>3303</v>
      </c>
      <c r="K83" s="3456" t="s">
        <v>3304</v>
      </c>
      <c r="M83" s="3456">
        <f>I71+H78+H79+H80+H81</f>
        <v>115281.91999999998</v>
      </c>
      <c r="AJ83" s="3464" t="s">
        <v>3272</v>
      </c>
      <c r="AK83" s="3465">
        <v>1104</v>
      </c>
      <c r="AL83" s="3466">
        <v>109.52</v>
      </c>
      <c r="AM83" s="3467">
        <v>79.459999999999994</v>
      </c>
    </row>
    <row r="84" spans="1:39">
      <c r="A84" s="3458" t="s">
        <v>3305</v>
      </c>
      <c r="B84" s="3458">
        <f>SUM(B78:B83)</f>
        <v>28081.94</v>
      </c>
      <c r="C84" s="3458">
        <f>SUM(C78:C83)</f>
        <v>750.18999999999994</v>
      </c>
      <c r="D84" s="3458">
        <f t="shared" ref="D84:E84" si="23">SUM(D78:D83)</f>
        <v>37837.25</v>
      </c>
      <c r="E84" s="3458">
        <f t="shared" si="23"/>
        <v>66669.38</v>
      </c>
      <c r="F84" s="3458"/>
      <c r="G84" s="3458">
        <f>F84</f>
        <v>0</v>
      </c>
      <c r="H84" s="3457">
        <f>G84+E84</f>
        <v>66669.38</v>
      </c>
      <c r="I84" s="3457">
        <v>1249</v>
      </c>
      <c r="K84" s="3457" t="s">
        <v>3306</v>
      </c>
      <c r="L84" s="3457"/>
      <c r="M84" s="3457">
        <f>ROUND((B84+C84)/M83*C56,2)</f>
        <v>11313.21</v>
      </c>
      <c r="AJ84" s="3464" t="s">
        <v>3272</v>
      </c>
      <c r="AK84" s="3465">
        <v>1202</v>
      </c>
      <c r="AL84" s="3466">
        <v>88.25</v>
      </c>
      <c r="AM84" s="3467">
        <v>64.03</v>
      </c>
    </row>
    <row r="85" spans="1:39">
      <c r="AJ85" s="3464" t="s">
        <v>3272</v>
      </c>
      <c r="AK85" s="3465">
        <v>1301</v>
      </c>
      <c r="AL85" s="3466">
        <v>109.52</v>
      </c>
      <c r="AM85" s="3467">
        <v>79.459999999999994</v>
      </c>
    </row>
    <row r="86" spans="1:39">
      <c r="A86" s="3455" t="s">
        <v>3307</v>
      </c>
      <c r="B86" s="3456" t="s">
        <v>3308</v>
      </c>
      <c r="C86" s="3456">
        <v>36081.629999999997</v>
      </c>
      <c r="AJ86" s="3464" t="s">
        <v>3272</v>
      </c>
      <c r="AK86" s="3465">
        <v>1302</v>
      </c>
      <c r="AL86" s="3466">
        <v>88.25</v>
      </c>
      <c r="AM86" s="3467">
        <v>64.03</v>
      </c>
    </row>
    <row r="87" spans="1:39">
      <c r="A87" s="3456" t="s">
        <v>3309</v>
      </c>
      <c r="AJ87" s="3464" t="s">
        <v>3272</v>
      </c>
      <c r="AK87" s="3465">
        <v>1303</v>
      </c>
      <c r="AL87" s="3466">
        <v>88.25</v>
      </c>
      <c r="AM87" s="3467">
        <v>64.03</v>
      </c>
    </row>
    <row r="88" spans="1:39" s="3500" customFormat="1">
      <c r="A88" s="3499"/>
      <c r="B88" s="3499" t="s">
        <v>3140</v>
      </c>
      <c r="C88" s="3499"/>
      <c r="D88" s="3499" t="s">
        <v>3310</v>
      </c>
      <c r="E88" s="3499"/>
      <c r="F88" s="3499"/>
      <c r="G88" s="3499"/>
      <c r="H88" s="3499" t="s">
        <v>3311</v>
      </c>
      <c r="I88" s="3499" t="s">
        <v>3312</v>
      </c>
      <c r="J88" s="3499"/>
      <c r="K88" s="3499"/>
      <c r="L88" s="3499" t="s">
        <v>3311</v>
      </c>
      <c r="M88" s="3499" t="s">
        <v>3305</v>
      </c>
      <c r="N88" s="3456"/>
      <c r="O88" s="3462"/>
      <c r="P88" s="3462"/>
      <c r="Q88" s="3462"/>
      <c r="R88" s="3462"/>
      <c r="S88" s="3462"/>
      <c r="T88" s="3462"/>
      <c r="U88" s="3462"/>
      <c r="V88" s="3462"/>
      <c r="W88" s="3462"/>
      <c r="X88" s="3462"/>
      <c r="Y88" s="3462"/>
      <c r="Z88" s="3462"/>
      <c r="AA88" s="3462"/>
      <c r="AB88" s="3479"/>
      <c r="AC88" s="3462"/>
      <c r="AD88" s="3462"/>
      <c r="AE88" s="3462"/>
      <c r="AF88" s="3480"/>
      <c r="AG88" s="3480"/>
      <c r="AI88" s="3499"/>
      <c r="AJ88" s="3464" t="s">
        <v>3272</v>
      </c>
      <c r="AK88" s="3465">
        <v>1304</v>
      </c>
      <c r="AL88" s="3466">
        <v>109.52</v>
      </c>
      <c r="AM88" s="3467">
        <v>79.459999999999994</v>
      </c>
    </row>
    <row r="89" spans="1:39" s="3500" customFormat="1">
      <c r="A89" s="3499"/>
      <c r="B89" s="3499" t="s">
        <v>3313</v>
      </c>
      <c r="C89" s="3499"/>
      <c r="D89" s="3499"/>
      <c r="E89" s="3499"/>
      <c r="F89" s="3499" t="s">
        <v>3314</v>
      </c>
      <c r="G89" s="3499"/>
      <c r="H89" s="3499"/>
      <c r="I89" s="3499" t="s">
        <v>3313</v>
      </c>
      <c r="J89" s="3499" t="s">
        <v>3313</v>
      </c>
      <c r="K89" s="3499" t="s">
        <v>3314</v>
      </c>
      <c r="L89" s="3499"/>
      <c r="M89" s="3499"/>
      <c r="N89" s="3499"/>
      <c r="AB89" s="3501"/>
      <c r="AI89" s="3499"/>
      <c r="AJ89" s="3464" t="s">
        <v>3272</v>
      </c>
      <c r="AK89" s="3465">
        <v>1401</v>
      </c>
      <c r="AL89" s="3466">
        <v>109.52</v>
      </c>
      <c r="AM89" s="3467">
        <v>79.459999999999994</v>
      </c>
    </row>
    <row r="90" spans="1:39" s="3500" customFormat="1">
      <c r="A90" s="3499"/>
      <c r="B90" s="3499" t="s">
        <v>3315</v>
      </c>
      <c r="C90" s="3499" t="s">
        <v>3316</v>
      </c>
      <c r="D90" s="3499" t="s">
        <v>3317</v>
      </c>
      <c r="E90" s="3499"/>
      <c r="F90" s="3499" t="s">
        <v>3318</v>
      </c>
      <c r="G90" s="3499"/>
      <c r="H90" s="3499"/>
      <c r="I90" s="3499" t="s">
        <v>3319</v>
      </c>
      <c r="J90" s="3499" t="s">
        <v>3320</v>
      </c>
      <c r="K90" s="3499" t="s">
        <v>3320</v>
      </c>
      <c r="L90" s="3499"/>
      <c r="M90" s="3499"/>
      <c r="N90" s="3499"/>
      <c r="P90" s="3500" t="s">
        <v>3321</v>
      </c>
      <c r="Q90" s="3500" t="s">
        <v>3322</v>
      </c>
      <c r="AB90" s="3501"/>
      <c r="AI90" s="3499"/>
      <c r="AJ90" s="3464" t="s">
        <v>3272</v>
      </c>
      <c r="AK90" s="3465">
        <v>1402</v>
      </c>
      <c r="AL90" s="3466">
        <v>88.25</v>
      </c>
      <c r="AM90" s="3467">
        <v>64.03</v>
      </c>
    </row>
    <row r="91" spans="1:39" s="3500" customFormat="1">
      <c r="A91" s="3496" t="s">
        <v>3323</v>
      </c>
      <c r="B91" s="3496">
        <f>[2]D1!$J$33</f>
        <v>17005.980000000003</v>
      </c>
      <c r="C91" s="3496">
        <f>74.7+69.27*4+67.09+69.15+72.23+70.53*2+66.67+89+77.04+64.12+63.92+65.18+62.27+64.13+76.34</f>
        <v>1329.9799999999998</v>
      </c>
      <c r="D91" s="3496"/>
      <c r="E91" s="3496"/>
      <c r="F91" s="3496"/>
      <c r="G91" s="3499"/>
      <c r="H91" s="3496">
        <f t="shared" ref="H91:H104" si="24">SUM(B91:G91)</f>
        <v>18335.960000000003</v>
      </c>
      <c r="I91" s="3496"/>
      <c r="J91" s="3496">
        <f>[2]D1!$J$41</f>
        <v>818.1</v>
      </c>
      <c r="K91" s="3496"/>
      <c r="L91" s="3496">
        <f t="shared" ref="L91:L104" si="25">SUM(I91:K91)</f>
        <v>818.1</v>
      </c>
      <c r="M91" s="3496">
        <f t="shared" ref="M91:M103" si="26">L91+H91</f>
        <v>19154.060000000001</v>
      </c>
      <c r="N91" s="3496" t="s">
        <v>3324</v>
      </c>
      <c r="O91" s="3497"/>
      <c r="P91" s="3500">
        <v>3840.06</v>
      </c>
      <c r="Q91" s="3500">
        <f>B91-P91</f>
        <v>13165.920000000004</v>
      </c>
      <c r="AB91" s="3501"/>
      <c r="AI91" s="3499"/>
      <c r="AJ91" s="3464" t="s">
        <v>3272</v>
      </c>
      <c r="AK91" s="3465">
        <v>1403</v>
      </c>
      <c r="AL91" s="3466">
        <v>88.25</v>
      </c>
      <c r="AM91" s="3467">
        <v>64.03</v>
      </c>
    </row>
    <row r="92" spans="1:39" s="3505" customFormat="1">
      <c r="A92" s="3502" t="s">
        <v>3325</v>
      </c>
      <c r="B92" s="3502">
        <f>[2]D2!$J$35</f>
        <v>13939.86</v>
      </c>
      <c r="C92" s="3502"/>
      <c r="D92" s="3502"/>
      <c r="E92" s="3502"/>
      <c r="F92" s="3502"/>
      <c r="G92" s="3499"/>
      <c r="H92" s="3502">
        <f t="shared" si="24"/>
        <v>13939.86</v>
      </c>
      <c r="I92" s="3502"/>
      <c r="J92" s="3502"/>
      <c r="K92" s="3502"/>
      <c r="L92" s="3502">
        <f t="shared" si="25"/>
        <v>0</v>
      </c>
      <c r="M92" s="3502">
        <f t="shared" si="26"/>
        <v>13939.86</v>
      </c>
      <c r="N92" s="3502" t="s">
        <v>3326</v>
      </c>
      <c r="O92" s="3503" t="s">
        <v>3327</v>
      </c>
      <c r="P92" s="3504">
        <v>0.5</v>
      </c>
      <c r="Q92" s="3497">
        <v>0</v>
      </c>
      <c r="R92" s="3504">
        <f>ROUND((Q92*Q91+P92*P91)/H91,2)</f>
        <v>0.1</v>
      </c>
      <c r="S92" s="3500"/>
      <c r="T92" s="3500"/>
      <c r="U92" s="3500"/>
      <c r="V92" s="3500"/>
      <c r="W92" s="3500"/>
      <c r="X92" s="3500"/>
      <c r="Y92" s="3500"/>
      <c r="Z92" s="3500"/>
      <c r="AA92" s="3500"/>
      <c r="AB92" s="3501"/>
      <c r="AC92" s="3500"/>
      <c r="AD92" s="3500"/>
      <c r="AE92" s="3500"/>
      <c r="AF92" s="3500"/>
      <c r="AG92" s="3500"/>
      <c r="AI92" s="3506"/>
      <c r="AJ92" s="3464" t="s">
        <v>3272</v>
      </c>
      <c r="AK92" s="3465">
        <v>1404</v>
      </c>
      <c r="AL92" s="3466">
        <v>109.52</v>
      </c>
      <c r="AM92" s="3467">
        <v>79.459999999999994</v>
      </c>
    </row>
    <row r="93" spans="1:39" s="3505" customFormat="1">
      <c r="A93" s="3502" t="s">
        <v>3328</v>
      </c>
      <c r="B93" s="3502">
        <f>[2]D3!$J$35</f>
        <v>13939.86</v>
      </c>
      <c r="C93" s="3502"/>
      <c r="D93" s="3502"/>
      <c r="E93" s="3502"/>
      <c r="F93" s="3502"/>
      <c r="G93" s="3499"/>
      <c r="H93" s="3502">
        <f t="shared" si="24"/>
        <v>13939.86</v>
      </c>
      <c r="I93" s="3502"/>
      <c r="J93" s="3502"/>
      <c r="K93" s="3502"/>
      <c r="L93" s="3502">
        <f t="shared" si="25"/>
        <v>0</v>
      </c>
      <c r="M93" s="3502">
        <f t="shared" si="26"/>
        <v>13939.86</v>
      </c>
      <c r="N93" s="3502" t="s">
        <v>3329</v>
      </c>
      <c r="O93" s="3507"/>
      <c r="P93" s="3507"/>
      <c r="Q93" s="3507"/>
      <c r="AB93" s="3508"/>
      <c r="AI93" s="3506"/>
      <c r="AJ93" s="3464" t="s">
        <v>3272</v>
      </c>
      <c r="AK93" s="3465">
        <v>1501</v>
      </c>
      <c r="AL93" s="3466">
        <v>109.52</v>
      </c>
      <c r="AM93" s="3467">
        <v>79.459999999999994</v>
      </c>
    </row>
    <row r="94" spans="1:39" s="3505" customFormat="1">
      <c r="A94" s="3502" t="s">
        <v>3330</v>
      </c>
      <c r="B94" s="3502">
        <f>[2]D4!$J$35</f>
        <v>12006.589999999995</v>
      </c>
      <c r="C94" s="3502"/>
      <c r="D94" s="3502"/>
      <c r="E94" s="3502"/>
      <c r="F94" s="3502"/>
      <c r="G94" s="3499"/>
      <c r="H94" s="3502">
        <f t="shared" si="24"/>
        <v>12006.589999999995</v>
      </c>
      <c r="I94" s="3502"/>
      <c r="J94" s="3502">
        <f>[2]D4!$J$41</f>
        <v>109.21</v>
      </c>
      <c r="K94" s="3502"/>
      <c r="L94" s="3502">
        <f t="shared" si="25"/>
        <v>109.21</v>
      </c>
      <c r="M94" s="3502">
        <f t="shared" si="26"/>
        <v>12115.799999999994</v>
      </c>
      <c r="N94" s="3502" t="s">
        <v>3331</v>
      </c>
      <c r="O94" s="3507"/>
      <c r="P94" s="3507"/>
      <c r="Q94" s="3507"/>
      <c r="AB94" s="3508"/>
      <c r="AI94" s="3506"/>
      <c r="AJ94" s="3464" t="s">
        <v>3272</v>
      </c>
      <c r="AK94" s="3465">
        <v>1504</v>
      </c>
      <c r="AL94" s="3466">
        <v>109.52</v>
      </c>
      <c r="AM94" s="3467">
        <v>79.459999999999994</v>
      </c>
    </row>
    <row r="95" spans="1:39" s="3505" customFormat="1">
      <c r="A95" s="3502" t="s">
        <v>3332</v>
      </c>
      <c r="B95" s="3502">
        <f>[2]D5!$J$35</f>
        <v>12114.799999999994</v>
      </c>
      <c r="C95" s="3502"/>
      <c r="D95" s="3502"/>
      <c r="E95" s="3502"/>
      <c r="F95" s="3502"/>
      <c r="G95" s="3499"/>
      <c r="H95" s="3502">
        <f t="shared" si="24"/>
        <v>12114.799999999994</v>
      </c>
      <c r="I95" s="3502"/>
      <c r="J95" s="3502"/>
      <c r="K95" s="3502"/>
      <c r="L95" s="3502"/>
      <c r="M95" s="3502">
        <f t="shared" si="26"/>
        <v>12114.799999999994</v>
      </c>
      <c r="N95" s="3502" t="s">
        <v>3333</v>
      </c>
      <c r="O95" s="3507"/>
      <c r="P95" s="3507"/>
      <c r="Q95" s="3507"/>
      <c r="AB95" s="3508"/>
      <c r="AI95" s="3506"/>
      <c r="AJ95" s="3464" t="s">
        <v>3272</v>
      </c>
      <c r="AK95" s="3465">
        <v>1601</v>
      </c>
      <c r="AL95" s="3466">
        <v>109.52</v>
      </c>
      <c r="AM95" s="3467">
        <v>79.459999999999994</v>
      </c>
    </row>
    <row r="96" spans="1:39" s="3500" customFormat="1">
      <c r="A96" s="3496"/>
      <c r="B96" s="3496">
        <f>SUM(B91:B95)</f>
        <v>69007.09</v>
      </c>
      <c r="C96" s="3496"/>
      <c r="D96" s="3496"/>
      <c r="E96" s="3496"/>
      <c r="F96" s="3496"/>
      <c r="G96" s="3499"/>
      <c r="H96" s="3496"/>
      <c r="I96" s="3496"/>
      <c r="J96" s="3496"/>
      <c r="K96" s="3496"/>
      <c r="L96" s="3496" t="s">
        <v>3311</v>
      </c>
      <c r="M96" s="3496">
        <f>SUM(M91:M95)</f>
        <v>71264.37999999999</v>
      </c>
      <c r="P96" s="3507"/>
      <c r="Q96" s="3507"/>
      <c r="R96" s="3505"/>
      <c r="S96" s="3505"/>
      <c r="T96" s="3505"/>
      <c r="U96" s="3505"/>
      <c r="V96" s="3505"/>
      <c r="W96" s="3505"/>
      <c r="X96" s="3505"/>
      <c r="Y96" s="3505"/>
      <c r="Z96" s="3505"/>
      <c r="AA96" s="3505"/>
      <c r="AB96" s="3508"/>
      <c r="AC96" s="3505"/>
      <c r="AD96" s="3505"/>
      <c r="AE96" s="3505"/>
      <c r="AF96" s="3505"/>
      <c r="AG96" s="3505"/>
      <c r="AI96" s="3499"/>
      <c r="AJ96" s="3464" t="s">
        <v>3272</v>
      </c>
      <c r="AK96" s="3465">
        <v>1701</v>
      </c>
      <c r="AL96" s="3466">
        <v>109.52</v>
      </c>
      <c r="AM96" s="3467">
        <v>79.459999999999994</v>
      </c>
    </row>
    <row r="97" spans="1:39" s="3500" customFormat="1">
      <c r="A97" s="3499" t="s">
        <v>3334</v>
      </c>
      <c r="B97" s="3499"/>
      <c r="C97" s="3499"/>
      <c r="D97" s="3499"/>
      <c r="E97" s="3499"/>
      <c r="F97" s="3499"/>
      <c r="G97" s="3499"/>
      <c r="H97" s="3499"/>
      <c r="I97" s="3499"/>
      <c r="J97" s="3499"/>
      <c r="K97" s="3499"/>
      <c r="L97" s="3499"/>
      <c r="M97" s="3499"/>
      <c r="N97" s="3496"/>
      <c r="O97" s="3497"/>
      <c r="P97" s="3497"/>
      <c r="Q97" s="3497"/>
      <c r="AB97" s="3501"/>
      <c r="AI97" s="3499"/>
      <c r="AJ97" s="3464" t="s">
        <v>3272</v>
      </c>
      <c r="AK97" s="3465">
        <v>1703</v>
      </c>
      <c r="AL97" s="3466">
        <v>88.25</v>
      </c>
      <c r="AM97" s="3467">
        <v>64.03</v>
      </c>
    </row>
    <row r="98" spans="1:39" s="3500" customFormat="1">
      <c r="A98" s="3499"/>
      <c r="B98" s="3499"/>
      <c r="C98" s="3499"/>
      <c r="D98" s="3499"/>
      <c r="E98" s="3499"/>
      <c r="F98" s="3499"/>
      <c r="G98" s="3499"/>
      <c r="H98" s="3499"/>
      <c r="I98" s="3499"/>
      <c r="J98" s="3499"/>
      <c r="K98" s="3499"/>
      <c r="L98" s="3499"/>
      <c r="M98" s="3499"/>
      <c r="N98" s="3499"/>
      <c r="AB98" s="3501"/>
      <c r="AI98" s="3499"/>
      <c r="AJ98" s="3464" t="s">
        <v>3272</v>
      </c>
      <c r="AK98" s="3465">
        <v>1704</v>
      </c>
      <c r="AL98" s="3466">
        <v>109.52</v>
      </c>
      <c r="AM98" s="3467">
        <v>79.459999999999994</v>
      </c>
    </row>
    <row r="99" spans="1:39" s="3500" customFormat="1">
      <c r="A99" s="3499" t="s">
        <v>3335</v>
      </c>
      <c r="B99" s="3499"/>
      <c r="C99" s="3499"/>
      <c r="D99" s="3499"/>
      <c r="E99" s="3499"/>
      <c r="F99" s="3499"/>
      <c r="G99" s="3499"/>
      <c r="H99" s="3499"/>
      <c r="I99" s="3499"/>
      <c r="J99" s="3499">
        <v>79.13</v>
      </c>
      <c r="K99" s="3499"/>
      <c r="L99" s="3499">
        <f t="shared" si="25"/>
        <v>79.13</v>
      </c>
      <c r="M99" s="3499">
        <f t="shared" si="26"/>
        <v>79.13</v>
      </c>
      <c r="N99" s="3499"/>
      <c r="AB99" s="3501"/>
      <c r="AI99" s="3499"/>
      <c r="AJ99" s="3464" t="s">
        <v>3272</v>
      </c>
      <c r="AK99" s="3465">
        <v>1801</v>
      </c>
      <c r="AL99" s="3466">
        <v>109.52</v>
      </c>
      <c r="AM99" s="3467">
        <v>79.459999999999994</v>
      </c>
    </row>
    <row r="100" spans="1:39" s="3500" customFormat="1">
      <c r="A100" s="3499" t="s">
        <v>3336</v>
      </c>
      <c r="B100" s="3499"/>
      <c r="C100" s="3499">
        <v>1887.3</v>
      </c>
      <c r="D100" s="3499"/>
      <c r="E100" s="3499"/>
      <c r="F100" s="3499"/>
      <c r="G100" s="3499"/>
      <c r="H100" s="3499">
        <f t="shared" si="24"/>
        <v>1887.3</v>
      </c>
      <c r="I100" s="3499"/>
      <c r="J100" s="3499"/>
      <c r="K100" s="3499"/>
      <c r="L100" s="3499">
        <f t="shared" si="25"/>
        <v>0</v>
      </c>
      <c r="M100" s="3499">
        <f t="shared" si="26"/>
        <v>1887.3</v>
      </c>
      <c r="N100" s="3499"/>
      <c r="AB100" s="3501"/>
      <c r="AI100" s="3499"/>
      <c r="AJ100" s="3464" t="s">
        <v>3272</v>
      </c>
      <c r="AK100" s="3465">
        <v>1802</v>
      </c>
      <c r="AL100" s="3466">
        <v>88.25</v>
      </c>
      <c r="AM100" s="3467">
        <v>64.03</v>
      </c>
    </row>
    <row r="101" spans="1:39" s="3500" customFormat="1">
      <c r="A101" s="3499" t="s">
        <v>3337</v>
      </c>
      <c r="B101" s="3499"/>
      <c r="C101" s="3499">
        <v>1199.55</v>
      </c>
      <c r="D101" s="3499"/>
      <c r="E101" s="3499"/>
      <c r="F101" s="3499"/>
      <c r="G101" s="3499"/>
      <c r="H101" s="3499">
        <f t="shared" si="24"/>
        <v>1199.55</v>
      </c>
      <c r="I101" s="3499"/>
      <c r="J101" s="3499"/>
      <c r="K101" s="3499"/>
      <c r="L101" s="3499">
        <f t="shared" si="25"/>
        <v>0</v>
      </c>
      <c r="M101" s="3499">
        <f t="shared" si="26"/>
        <v>1199.55</v>
      </c>
      <c r="N101" s="3499"/>
      <c r="AB101" s="3501"/>
      <c r="AI101" s="3499"/>
      <c r="AJ101" s="3464" t="s">
        <v>3272</v>
      </c>
      <c r="AK101" s="3465">
        <v>1803</v>
      </c>
      <c r="AL101" s="3466">
        <v>88.25</v>
      </c>
      <c r="AM101" s="3467">
        <v>64.03</v>
      </c>
    </row>
    <row r="102" spans="1:39" s="3500" customFormat="1">
      <c r="A102" s="3499" t="s">
        <v>3338</v>
      </c>
      <c r="B102" s="3499"/>
      <c r="C102" s="3499"/>
      <c r="D102" s="3499">
        <v>33174.019999999997</v>
      </c>
      <c r="E102" s="3499"/>
      <c r="F102" s="3499"/>
      <c r="G102" s="3499"/>
      <c r="H102" s="3499">
        <f t="shared" si="24"/>
        <v>33174.019999999997</v>
      </c>
      <c r="I102" s="3499"/>
      <c r="J102" s="3499">
        <f>M102-D102</f>
        <v>297.03000000000611</v>
      </c>
      <c r="K102" s="3499"/>
      <c r="L102" s="3499">
        <f t="shared" si="25"/>
        <v>297.03000000000611</v>
      </c>
      <c r="M102" s="3499">
        <v>33471.050000000003</v>
      </c>
      <c r="N102" s="3499"/>
      <c r="AB102" s="3501"/>
      <c r="AI102" s="3499"/>
      <c r="AJ102" s="3464" t="s">
        <v>3272</v>
      </c>
      <c r="AK102" s="3465">
        <v>1804</v>
      </c>
      <c r="AL102" s="3466">
        <v>109.52</v>
      </c>
      <c r="AM102" s="3467">
        <v>79.459999999999994</v>
      </c>
    </row>
    <row r="103" spans="1:39" s="3500" customFormat="1">
      <c r="A103" s="3499" t="s">
        <v>3339</v>
      </c>
      <c r="B103" s="3499"/>
      <c r="C103" s="3499"/>
      <c r="D103" s="3499"/>
      <c r="E103" s="3499"/>
      <c r="F103" s="3499"/>
      <c r="G103" s="3499"/>
      <c r="H103" s="3499">
        <f t="shared" si="24"/>
        <v>0</v>
      </c>
      <c r="I103" s="3499"/>
      <c r="J103" s="3499">
        <v>171</v>
      </c>
      <c r="K103" s="3499"/>
      <c r="L103" s="3499">
        <f t="shared" si="25"/>
        <v>171</v>
      </c>
      <c r="M103" s="3499">
        <f t="shared" si="26"/>
        <v>171</v>
      </c>
      <c r="N103" s="3499" t="s">
        <v>3340</v>
      </c>
      <c r="AB103" s="3501"/>
      <c r="AI103" s="3499"/>
      <c r="AJ103" s="3464" t="s">
        <v>3272</v>
      </c>
      <c r="AK103" s="3465">
        <v>1901</v>
      </c>
      <c r="AL103" s="3466">
        <v>109.52</v>
      </c>
      <c r="AM103" s="3467">
        <v>79.459999999999994</v>
      </c>
    </row>
    <row r="104" spans="1:39" s="3500" customFormat="1">
      <c r="A104" s="3499" t="s">
        <v>3341</v>
      </c>
      <c r="B104" s="3499"/>
      <c r="C104" s="3499"/>
      <c r="D104" s="3499"/>
      <c r="E104" s="3499"/>
      <c r="F104" s="3499">
        <f>E110</f>
        <v>24149.439999999999</v>
      </c>
      <c r="G104" s="3499"/>
      <c r="H104" s="3499">
        <f t="shared" si="24"/>
        <v>24149.439999999999</v>
      </c>
      <c r="I104" s="3499"/>
      <c r="J104" s="3499"/>
      <c r="K104" s="3499">
        <f>2818+2464.84</f>
        <v>5282.84</v>
      </c>
      <c r="L104" s="3499">
        <f t="shared" si="25"/>
        <v>5282.84</v>
      </c>
      <c r="M104" s="3499">
        <f>L104+H104</f>
        <v>29432.28</v>
      </c>
      <c r="N104" s="3499"/>
      <c r="AB104" s="3501"/>
      <c r="AI104" s="3499"/>
      <c r="AJ104" s="3464" t="s">
        <v>3272</v>
      </c>
      <c r="AK104" s="3465">
        <v>1903</v>
      </c>
      <c r="AL104" s="3466">
        <v>88.25</v>
      </c>
      <c r="AM104" s="3467">
        <v>64.03</v>
      </c>
    </row>
    <row r="105" spans="1:39">
      <c r="N105" s="3499"/>
      <c r="O105" s="3500"/>
      <c r="P105" s="3500"/>
      <c r="Q105" s="3500"/>
      <c r="R105" s="3500"/>
      <c r="S105" s="3500"/>
      <c r="T105" s="3500"/>
      <c r="U105" s="3500"/>
      <c r="V105" s="3500"/>
      <c r="W105" s="3500"/>
      <c r="X105" s="3500"/>
      <c r="Y105" s="3500"/>
      <c r="Z105" s="3500"/>
      <c r="AA105" s="3500"/>
      <c r="AB105" s="3501"/>
      <c r="AC105" s="3500"/>
      <c r="AD105" s="3500"/>
      <c r="AE105" s="3500"/>
      <c r="AF105" s="3500"/>
      <c r="AG105" s="3500"/>
      <c r="AJ105" s="3464" t="s">
        <v>3272</v>
      </c>
      <c r="AK105" s="3465">
        <v>1904</v>
      </c>
      <c r="AL105" s="3466">
        <v>109.52</v>
      </c>
      <c r="AM105" s="3467">
        <v>79.459999999999994</v>
      </c>
    </row>
    <row r="106" spans="1:39">
      <c r="A106" s="3484" t="s">
        <v>3342</v>
      </c>
      <c r="AJ106" s="3464" t="s">
        <v>3272</v>
      </c>
      <c r="AK106" s="3465">
        <v>2001</v>
      </c>
      <c r="AL106" s="3466">
        <v>109.52</v>
      </c>
      <c r="AM106" s="3467">
        <v>79.459999999999994</v>
      </c>
    </row>
    <row r="107" spans="1:39" s="3494" customFormat="1">
      <c r="A107" s="3486"/>
      <c r="B107" s="3456" t="s">
        <v>3140</v>
      </c>
      <c r="C107" s="3456"/>
      <c r="D107" s="3456"/>
      <c r="E107" s="3456"/>
      <c r="F107" s="3456" t="s">
        <v>3141</v>
      </c>
      <c r="G107" s="3456" t="s">
        <v>3142</v>
      </c>
      <c r="H107" s="3456"/>
      <c r="I107" s="3456" t="s">
        <v>3141</v>
      </c>
      <c r="J107" s="3456" t="s">
        <v>3143</v>
      </c>
      <c r="L107" s="3487" t="s">
        <v>3343</v>
      </c>
      <c r="M107" s="3487" t="s">
        <v>3344</v>
      </c>
      <c r="N107" s="3456"/>
      <c r="O107" s="3462"/>
      <c r="P107" s="3462"/>
      <c r="Q107" s="3462"/>
      <c r="R107" s="3462"/>
      <c r="S107" s="3462"/>
      <c r="T107" s="3462"/>
      <c r="U107" s="3462"/>
      <c r="V107" s="3462"/>
      <c r="W107" s="3462"/>
      <c r="X107" s="3462"/>
      <c r="Y107" s="3462"/>
      <c r="Z107" s="3462"/>
      <c r="AA107" s="3462"/>
      <c r="AB107" s="3479"/>
      <c r="AC107" s="3462"/>
      <c r="AD107" s="3462"/>
      <c r="AE107" s="3462"/>
      <c r="AF107" s="3480"/>
      <c r="AG107" s="3480"/>
      <c r="AI107" s="3493"/>
      <c r="AJ107" s="3464" t="s">
        <v>3272</v>
      </c>
      <c r="AK107" s="3465">
        <v>2002</v>
      </c>
      <c r="AL107" s="3466">
        <v>88.25</v>
      </c>
      <c r="AM107" s="3467">
        <v>64.03</v>
      </c>
    </row>
    <row r="108" spans="1:39" s="3494" customFormat="1">
      <c r="A108" s="3486"/>
      <c r="B108" s="3456" t="s">
        <v>3147</v>
      </c>
      <c r="C108" s="3456"/>
      <c r="D108" s="3456"/>
      <c r="E108" s="3456" t="s">
        <v>3148</v>
      </c>
      <c r="G108" s="3456" t="s">
        <v>3147</v>
      </c>
      <c r="H108" s="3456" t="s">
        <v>3148</v>
      </c>
      <c r="I108" s="3456"/>
      <c r="J108" s="3456"/>
      <c r="L108" s="3458"/>
      <c r="M108" s="3487"/>
      <c r="AB108" s="3495"/>
      <c r="AI108" s="3493"/>
      <c r="AJ108" s="3464" t="s">
        <v>3272</v>
      </c>
      <c r="AK108" s="3465">
        <v>2004</v>
      </c>
      <c r="AL108" s="3466">
        <v>109.52</v>
      </c>
      <c r="AM108" s="3467">
        <v>79.459999999999994</v>
      </c>
    </row>
    <row r="109" spans="1:39" s="3494" customFormat="1">
      <c r="A109" s="3486"/>
      <c r="B109" s="3456" t="s">
        <v>3152</v>
      </c>
      <c r="C109" s="3456" t="s">
        <v>3345</v>
      </c>
      <c r="D109" s="3456" t="s">
        <v>3156</v>
      </c>
      <c r="E109" s="3456" t="s">
        <v>3158</v>
      </c>
      <c r="G109" s="3456" t="s">
        <v>3159</v>
      </c>
      <c r="H109" s="3456" t="s">
        <v>3159</v>
      </c>
      <c r="I109" s="3456"/>
      <c r="J109" s="3456"/>
      <c r="K109" s="3458" t="s">
        <v>3144</v>
      </c>
      <c r="L109" s="3487"/>
      <c r="M109" s="3487"/>
      <c r="AB109" s="3495"/>
      <c r="AI109" s="3493"/>
      <c r="AJ109" s="3464" t="s">
        <v>3272</v>
      </c>
      <c r="AK109" s="3465">
        <v>2101</v>
      </c>
      <c r="AL109" s="3466">
        <v>109.52</v>
      </c>
      <c r="AM109" s="3467">
        <v>79.459999999999994</v>
      </c>
    </row>
    <row r="110" spans="1:39" s="3494" customFormat="1">
      <c r="A110" s="3486"/>
      <c r="B110" s="3493">
        <f>B91</f>
        <v>17005.980000000003</v>
      </c>
      <c r="C110" s="3493">
        <f>C91+C100+C101</f>
        <v>4416.83</v>
      </c>
      <c r="D110" s="3493">
        <v>33174.019999999997</v>
      </c>
      <c r="E110" s="3493">
        <f>31669.44-L110</f>
        <v>24149.439999999999</v>
      </c>
      <c r="F110" s="3493">
        <f>SUM(B110:E110)</f>
        <v>78746.27</v>
      </c>
      <c r="G110" s="3493">
        <f>J91+J102</f>
        <v>1115.130000000006</v>
      </c>
      <c r="H110" s="3493">
        <f>K104</f>
        <v>5282.84</v>
      </c>
      <c r="I110" s="3493">
        <f>H110+G110</f>
        <v>6397.9700000000066</v>
      </c>
      <c r="J110" s="3457">
        <f>I110+F110</f>
        <v>85144.24</v>
      </c>
      <c r="K110" s="3457">
        <f>233+876</f>
        <v>1109</v>
      </c>
      <c r="L110" s="3487">
        <v>7520</v>
      </c>
      <c r="M110" s="3487">
        <f>L110+J110</f>
        <v>92664.24</v>
      </c>
      <c r="N110" s="3494" t="s">
        <v>3346</v>
      </c>
      <c r="P110" s="3494">
        <f>SUM(M96:M103)</f>
        <v>108072.41</v>
      </c>
      <c r="AB110" s="3495"/>
      <c r="AI110" s="3493"/>
      <c r="AJ110" s="3464" t="s">
        <v>3272</v>
      </c>
      <c r="AK110" s="3465">
        <v>2102</v>
      </c>
      <c r="AL110" s="3466">
        <v>88.25</v>
      </c>
      <c r="AM110" s="3467">
        <v>64.03</v>
      </c>
    </row>
    <row r="111" spans="1:39">
      <c r="N111" s="3457" t="s">
        <v>3347</v>
      </c>
      <c r="O111" s="3457"/>
      <c r="P111" s="3457">
        <f>ROUND((B110+C110+D110+G110)/P110*C86,2)</f>
        <v>18600.29</v>
      </c>
      <c r="Q111" s="3457"/>
      <c r="R111" s="3494"/>
      <c r="S111" s="3494"/>
      <c r="T111" s="3494"/>
      <c r="U111" s="3494"/>
      <c r="V111" s="3494"/>
      <c r="W111" s="3494"/>
      <c r="X111" s="3494"/>
      <c r="Y111" s="3494"/>
      <c r="Z111" s="3494"/>
      <c r="AA111" s="3494"/>
      <c r="AB111" s="3495"/>
      <c r="AC111" s="3494"/>
      <c r="AD111" s="3494"/>
      <c r="AE111" s="3494"/>
      <c r="AF111" s="3494"/>
      <c r="AG111" s="3494"/>
      <c r="AJ111" s="3464" t="s">
        <v>3272</v>
      </c>
      <c r="AK111" s="3465">
        <v>2103</v>
      </c>
      <c r="AL111" s="3466">
        <v>88.25</v>
      </c>
      <c r="AM111" s="3467">
        <v>64.03</v>
      </c>
    </row>
    <row r="112" spans="1:39">
      <c r="AJ112" s="3464" t="s">
        <v>3272</v>
      </c>
      <c r="AK112" s="3465">
        <v>2104</v>
      </c>
      <c r="AL112" s="3466">
        <v>109.52</v>
      </c>
      <c r="AM112" s="3467">
        <v>79.459999999999994</v>
      </c>
    </row>
    <row r="113" spans="1:39">
      <c r="A113" s="3455" t="s">
        <v>3348</v>
      </c>
      <c r="B113" s="3456" t="s">
        <v>3308</v>
      </c>
      <c r="C113" s="3457">
        <v>2421.34</v>
      </c>
      <c r="AJ113" s="3464" t="s">
        <v>3272</v>
      </c>
      <c r="AK113" s="3465">
        <v>2201</v>
      </c>
      <c r="AL113" s="3466">
        <v>109.52</v>
      </c>
      <c r="AM113" s="3467">
        <v>79.459999999999994</v>
      </c>
    </row>
    <row r="114" spans="1:39">
      <c r="A114" s="3456" t="s">
        <v>3349</v>
      </c>
      <c r="AJ114" s="3464" t="s">
        <v>3272</v>
      </c>
      <c r="AK114" s="3465">
        <v>2202</v>
      </c>
      <c r="AL114" s="3466">
        <v>88.25</v>
      </c>
      <c r="AM114" s="3467">
        <v>64.03</v>
      </c>
    </row>
    <row r="115" spans="1:39">
      <c r="A115" s="3456" t="s">
        <v>3350</v>
      </c>
      <c r="F115" s="3456">
        <v>1627.66</v>
      </c>
      <c r="H115" s="3456">
        <f t="shared" ref="H115" si="27">SUM(B115:G115)</f>
        <v>1627.66</v>
      </c>
      <c r="J115" s="3456">
        <f>850.27+876.41+829.89+897.41+897.41</f>
        <v>4351.3899999999994</v>
      </c>
      <c r="L115" s="3456">
        <f t="shared" ref="L115" si="28">SUM(I115:K115)</f>
        <v>4351.3899999999994</v>
      </c>
      <c r="M115" s="3456">
        <f t="shared" ref="M115" si="29">L115+H115</f>
        <v>5979.0499999999993</v>
      </c>
      <c r="AJ115" s="3464" t="s">
        <v>3272</v>
      </c>
      <c r="AK115" s="3465">
        <v>2204</v>
      </c>
      <c r="AL115" s="3466">
        <v>109.52</v>
      </c>
      <c r="AM115" s="3467">
        <v>79.459999999999994</v>
      </c>
    </row>
    <row r="116" spans="1:39">
      <c r="A116" s="3484" t="s">
        <v>3342</v>
      </c>
      <c r="N116" s="3456" t="s">
        <v>3351</v>
      </c>
      <c r="AJ116" s="3464" t="s">
        <v>3272</v>
      </c>
      <c r="AK116" s="3465">
        <v>2301</v>
      </c>
      <c r="AL116" s="3466">
        <v>109.52</v>
      </c>
      <c r="AM116" s="3467">
        <v>79.459999999999994</v>
      </c>
    </row>
    <row r="117" spans="1:39">
      <c r="A117" s="3486"/>
      <c r="B117" s="3456" t="s">
        <v>3140</v>
      </c>
      <c r="D117" s="3456" t="s">
        <v>3141</v>
      </c>
      <c r="E117" s="3456" t="s">
        <v>3142</v>
      </c>
      <c r="G117" s="3456" t="s">
        <v>3141</v>
      </c>
      <c r="H117" s="3456" t="s">
        <v>3143</v>
      </c>
      <c r="I117" s="3462"/>
      <c r="J117" s="3487" t="s">
        <v>3343</v>
      </c>
      <c r="K117" s="3487" t="s">
        <v>3344</v>
      </c>
      <c r="AJ117" s="3464" t="s">
        <v>3272</v>
      </c>
      <c r="AK117" s="3465">
        <v>2302</v>
      </c>
      <c r="AL117" s="3466">
        <v>88.25</v>
      </c>
      <c r="AM117" s="3467">
        <v>64.03</v>
      </c>
    </row>
    <row r="118" spans="1:39">
      <c r="A118" s="3486"/>
      <c r="B118" s="3456" t="s">
        <v>3147</v>
      </c>
      <c r="C118" s="3456" t="s">
        <v>3148</v>
      </c>
      <c r="E118" s="3456" t="s">
        <v>3147</v>
      </c>
      <c r="F118" s="3456" t="s">
        <v>3148</v>
      </c>
      <c r="I118" s="3462"/>
      <c r="J118" s="3458"/>
      <c r="K118" s="3487"/>
      <c r="AJ118" s="3464" t="s">
        <v>3272</v>
      </c>
      <c r="AK118" s="3465">
        <v>2303</v>
      </c>
      <c r="AL118" s="3466">
        <v>88.25</v>
      </c>
      <c r="AM118" s="3467">
        <v>64.03</v>
      </c>
    </row>
    <row r="119" spans="1:39">
      <c r="A119" s="3486"/>
      <c r="B119" s="3456" t="s">
        <v>3345</v>
      </c>
      <c r="C119" s="3456" t="s">
        <v>3158</v>
      </c>
      <c r="E119" s="3456" t="s">
        <v>3159</v>
      </c>
      <c r="F119" s="3456" t="s">
        <v>3159</v>
      </c>
      <c r="I119" s="3458" t="s">
        <v>3144</v>
      </c>
      <c r="J119" s="3487"/>
      <c r="K119" s="3487"/>
      <c r="AJ119" s="3464" t="s">
        <v>3272</v>
      </c>
      <c r="AK119" s="3465">
        <v>2304</v>
      </c>
      <c r="AL119" s="3466">
        <v>109.52</v>
      </c>
      <c r="AM119" s="3467">
        <v>79.459999999999994</v>
      </c>
    </row>
    <row r="120" spans="1:39">
      <c r="A120" s="3486"/>
      <c r="B120" s="3456">
        <v>1724.68</v>
      </c>
      <c r="C120" s="3456">
        <v>1039.76</v>
      </c>
      <c r="D120" s="3456">
        <f>C120+B120</f>
        <v>2764.44</v>
      </c>
      <c r="E120" s="3456">
        <v>2626.7</v>
      </c>
      <c r="F120" s="3456">
        <v>103.67</v>
      </c>
      <c r="G120" s="3456">
        <f>F120+E120</f>
        <v>2730.37</v>
      </c>
      <c r="H120" s="3457">
        <f>G120+D120</f>
        <v>5494.8099999999995</v>
      </c>
      <c r="I120" s="3457">
        <v>35</v>
      </c>
      <c r="J120" s="3487">
        <v>518</v>
      </c>
      <c r="K120" s="3487">
        <f>J120+H120</f>
        <v>6012.8099999999995</v>
      </c>
      <c r="AJ120" s="3464" t="s">
        <v>3272</v>
      </c>
      <c r="AK120" s="3465">
        <v>2401</v>
      </c>
      <c r="AL120" s="3466">
        <v>109.52</v>
      </c>
      <c r="AM120" s="3467">
        <v>79.459999999999994</v>
      </c>
    </row>
    <row r="121" spans="1:39">
      <c r="A121" s="3486"/>
      <c r="AJ121" s="3464" t="s">
        <v>3272</v>
      </c>
      <c r="AK121" s="3465">
        <v>2403</v>
      </c>
      <c r="AL121" s="3466">
        <v>88.25</v>
      </c>
      <c r="AM121" s="3467">
        <v>64.03</v>
      </c>
    </row>
    <row r="122" spans="1:39">
      <c r="A122" s="3486"/>
      <c r="AJ122" s="3464" t="s">
        <v>3272</v>
      </c>
      <c r="AK122" s="3465">
        <v>2404</v>
      </c>
      <c r="AL122" s="3466">
        <v>109.52</v>
      </c>
      <c r="AM122" s="3467">
        <v>79.459999999999994</v>
      </c>
    </row>
    <row r="123" spans="1:39">
      <c r="A123" s="3493"/>
      <c r="AJ123" s="3464" t="s">
        <v>3272</v>
      </c>
      <c r="AK123" s="3465">
        <v>2504</v>
      </c>
      <c r="AL123" s="3466">
        <v>109.52</v>
      </c>
      <c r="AM123" s="3467">
        <v>79.459999999999994</v>
      </c>
    </row>
    <row r="124" spans="1:39">
      <c r="A124" s="3455" t="s">
        <v>3352</v>
      </c>
      <c r="B124" s="3456" t="s">
        <v>3308</v>
      </c>
      <c r="C124" s="3456">
        <v>26460.97</v>
      </c>
      <c r="AJ124" s="3464" t="s">
        <v>3272</v>
      </c>
      <c r="AK124" s="3465">
        <v>2602</v>
      </c>
      <c r="AL124" s="3466">
        <v>88.25</v>
      </c>
      <c r="AM124" s="3467">
        <v>64.03</v>
      </c>
    </row>
    <row r="125" spans="1:39">
      <c r="B125" s="3456" t="s">
        <v>4027</v>
      </c>
      <c r="C125" s="3456">
        <f>D36+G36+G52+H52+K52+E110+H110+C120+F120</f>
        <v>162455.93000000002</v>
      </c>
      <c r="AJ125" s="3464" t="s">
        <v>3272</v>
      </c>
      <c r="AK125" s="3465">
        <v>2603</v>
      </c>
      <c r="AL125" s="3466">
        <v>88.25</v>
      </c>
      <c r="AM125" s="3467">
        <v>64.03</v>
      </c>
    </row>
    <row r="126" spans="1:39">
      <c r="AJ126" s="3464" t="s">
        <v>3353</v>
      </c>
      <c r="AK126" s="3465">
        <v>103</v>
      </c>
      <c r="AL126" s="3466">
        <v>87.31</v>
      </c>
      <c r="AM126" s="3467">
        <v>64.03</v>
      </c>
    </row>
    <row r="127" spans="1:39">
      <c r="B127" s="3456" t="s">
        <v>3354</v>
      </c>
      <c r="C127" s="3456">
        <f>C124+C113+C86+C56+C38+C1</f>
        <v>226113.77000000002</v>
      </c>
      <c r="D127" s="3456" t="s">
        <v>3355</v>
      </c>
      <c r="E127" s="3462"/>
      <c r="F127" s="3456">
        <f>C113+P111+M84+C38+C1+C124</f>
        <v>174711.09</v>
      </c>
      <c r="H127" s="3462"/>
      <c r="AJ127" s="3464" t="s">
        <v>3353</v>
      </c>
      <c r="AK127" s="3465">
        <v>104</v>
      </c>
      <c r="AL127" s="3466">
        <v>108.35</v>
      </c>
      <c r="AM127" s="3467">
        <v>79.459999999999994</v>
      </c>
    </row>
    <row r="128" spans="1:39">
      <c r="D128" s="3456" t="s">
        <v>3356</v>
      </c>
      <c r="F128" s="3456">
        <f>H120+J110+H84+M52+I36</f>
        <v>656162.69999999995</v>
      </c>
      <c r="AJ128" s="3464" t="s">
        <v>3353</v>
      </c>
      <c r="AK128" s="3465">
        <v>201</v>
      </c>
      <c r="AL128" s="3466">
        <v>108.35</v>
      </c>
      <c r="AM128" s="3467">
        <v>79.459999999999994</v>
      </c>
    </row>
    <row r="129" spans="1:39">
      <c r="AJ129" s="3464" t="s">
        <v>3353</v>
      </c>
      <c r="AK129" s="3465">
        <v>202</v>
      </c>
      <c r="AL129" s="3466">
        <v>87.31</v>
      </c>
      <c r="AM129" s="3467">
        <v>64.03</v>
      </c>
    </row>
    <row r="130" spans="1:39">
      <c r="AJ130" s="3464" t="s">
        <v>3353</v>
      </c>
      <c r="AK130" s="3465">
        <v>203</v>
      </c>
      <c r="AL130" s="3466">
        <v>87.31</v>
      </c>
      <c r="AM130" s="3467">
        <v>64.03</v>
      </c>
    </row>
    <row r="131" spans="1:39">
      <c r="AJ131" s="3464" t="s">
        <v>3353</v>
      </c>
      <c r="AK131" s="3465">
        <v>204</v>
      </c>
      <c r="AL131" s="3466">
        <v>108.35</v>
      </c>
      <c r="AM131" s="3467">
        <v>79.459999999999994</v>
      </c>
    </row>
    <row r="132" spans="1:39">
      <c r="AJ132" s="3464" t="s">
        <v>3353</v>
      </c>
      <c r="AK132" s="3465">
        <v>304</v>
      </c>
      <c r="AL132" s="3466">
        <v>108.35</v>
      </c>
      <c r="AM132" s="3467">
        <v>79.459999999999994</v>
      </c>
    </row>
    <row r="133" spans="1:39">
      <c r="AJ133" s="3464" t="s">
        <v>3353</v>
      </c>
      <c r="AK133" s="3465">
        <v>501</v>
      </c>
      <c r="AL133" s="3466">
        <v>108.35</v>
      </c>
      <c r="AM133" s="3467">
        <v>79.459999999999994</v>
      </c>
    </row>
    <row r="134" spans="1:39">
      <c r="AJ134" s="3464" t="s">
        <v>3353</v>
      </c>
      <c r="AK134" s="3465">
        <v>504</v>
      </c>
      <c r="AL134" s="3466">
        <v>108.35</v>
      </c>
      <c r="AM134" s="3467">
        <v>79.459999999999994</v>
      </c>
    </row>
    <row r="135" spans="1:39">
      <c r="AJ135" s="3464" t="s">
        <v>3353</v>
      </c>
      <c r="AK135" s="3465">
        <v>601</v>
      </c>
      <c r="AL135" s="3466">
        <v>108.35</v>
      </c>
      <c r="AM135" s="3467">
        <v>79.459999999999994</v>
      </c>
    </row>
    <row r="136" spans="1:39">
      <c r="AJ136" s="3464" t="s">
        <v>3353</v>
      </c>
      <c r="AK136" s="3465">
        <v>602</v>
      </c>
      <c r="AL136" s="3466">
        <v>87.31</v>
      </c>
      <c r="AM136" s="3467">
        <v>64.03</v>
      </c>
    </row>
    <row r="137" spans="1:39">
      <c r="AJ137" s="3464" t="s">
        <v>3353</v>
      </c>
      <c r="AK137" s="3465">
        <v>701</v>
      </c>
      <c r="AL137" s="3466">
        <v>108.35</v>
      </c>
      <c r="AM137" s="3467">
        <v>79.459999999999994</v>
      </c>
    </row>
    <row r="138" spans="1:39">
      <c r="AJ138" s="3464" t="s">
        <v>3353</v>
      </c>
      <c r="AK138" s="3465">
        <v>702</v>
      </c>
      <c r="AL138" s="3466">
        <v>87.31</v>
      </c>
      <c r="AM138" s="3467">
        <v>64.03</v>
      </c>
    </row>
    <row r="139" spans="1:39">
      <c r="AJ139" s="3464" t="s">
        <v>3353</v>
      </c>
      <c r="AK139" s="3465">
        <v>703</v>
      </c>
      <c r="AL139" s="3466">
        <v>87.31</v>
      </c>
      <c r="AM139" s="3467">
        <v>64.03</v>
      </c>
    </row>
    <row r="140" spans="1:39">
      <c r="A140" s="3456" t="s">
        <v>3357</v>
      </c>
      <c r="C140" s="3456">
        <f>B96+B30</f>
        <v>225987.86</v>
      </c>
      <c r="AJ140" s="3464" t="s">
        <v>3353</v>
      </c>
      <c r="AK140" s="3465">
        <v>704</v>
      </c>
      <c r="AL140" s="3466">
        <v>108.35</v>
      </c>
      <c r="AM140" s="3467">
        <v>79.459999999999994</v>
      </c>
    </row>
    <row r="141" spans="1:39">
      <c r="AJ141" s="3464" t="s">
        <v>3353</v>
      </c>
      <c r="AK141" s="3465">
        <v>801</v>
      </c>
      <c r="AL141" s="3466">
        <v>108.35</v>
      </c>
      <c r="AM141" s="3467">
        <v>79.459999999999994</v>
      </c>
    </row>
    <row r="142" spans="1:39">
      <c r="AJ142" s="3464" t="s">
        <v>3353</v>
      </c>
      <c r="AK142" s="3465">
        <v>802</v>
      </c>
      <c r="AL142" s="3466">
        <v>87.31</v>
      </c>
      <c r="AM142" s="3467">
        <v>64.03</v>
      </c>
    </row>
    <row r="143" spans="1:39">
      <c r="AJ143" s="3464" t="s">
        <v>3353</v>
      </c>
      <c r="AK143" s="3465">
        <v>803</v>
      </c>
      <c r="AL143" s="3466">
        <v>87.31</v>
      </c>
      <c r="AM143" s="3467">
        <v>64.03</v>
      </c>
    </row>
    <row r="144" spans="1:39">
      <c r="AJ144" s="3464" t="s">
        <v>3353</v>
      </c>
      <c r="AK144" s="3465">
        <v>804</v>
      </c>
      <c r="AL144" s="3466">
        <v>108.35</v>
      </c>
      <c r="AM144" s="3467">
        <v>79.459999999999994</v>
      </c>
    </row>
    <row r="145" spans="36:39" s="3462" customFormat="1">
      <c r="AJ145" s="3464" t="s">
        <v>3353</v>
      </c>
      <c r="AK145" s="3465">
        <v>901</v>
      </c>
      <c r="AL145" s="3466">
        <v>108.35</v>
      </c>
      <c r="AM145" s="3467">
        <v>79.459999999999994</v>
      </c>
    </row>
    <row r="146" spans="36:39" s="3462" customFormat="1">
      <c r="AJ146" s="3464" t="s">
        <v>3353</v>
      </c>
      <c r="AK146" s="3465">
        <v>1003</v>
      </c>
      <c r="AL146" s="3466">
        <v>87.31</v>
      </c>
      <c r="AM146" s="3467">
        <v>64.03</v>
      </c>
    </row>
    <row r="147" spans="36:39" s="3462" customFormat="1">
      <c r="AJ147" s="3464" t="s">
        <v>3353</v>
      </c>
      <c r="AK147" s="3465">
        <v>1101</v>
      </c>
      <c r="AL147" s="3466">
        <v>108.35</v>
      </c>
      <c r="AM147" s="3467">
        <v>79.459999999999994</v>
      </c>
    </row>
    <row r="148" spans="36:39" s="3462" customFormat="1">
      <c r="AJ148" s="3464" t="s">
        <v>3353</v>
      </c>
      <c r="AK148" s="3465">
        <v>1102</v>
      </c>
      <c r="AL148" s="3466">
        <v>87.31</v>
      </c>
      <c r="AM148" s="3467">
        <v>64.03</v>
      </c>
    </row>
    <row r="149" spans="36:39" s="3462" customFormat="1">
      <c r="AJ149" s="3464" t="s">
        <v>3353</v>
      </c>
      <c r="AK149" s="3465">
        <v>1104</v>
      </c>
      <c r="AL149" s="3466">
        <v>108.35</v>
      </c>
      <c r="AM149" s="3467">
        <v>79.459999999999994</v>
      </c>
    </row>
    <row r="150" spans="36:39" s="3462" customFormat="1">
      <c r="AJ150" s="3464" t="s">
        <v>3353</v>
      </c>
      <c r="AK150" s="3465">
        <v>1201</v>
      </c>
      <c r="AL150" s="3466">
        <v>108.35</v>
      </c>
      <c r="AM150" s="3467">
        <v>79.459999999999994</v>
      </c>
    </row>
    <row r="151" spans="36:39" s="3462" customFormat="1">
      <c r="AJ151" s="3464" t="s">
        <v>3353</v>
      </c>
      <c r="AK151" s="3465">
        <v>1301</v>
      </c>
      <c r="AL151" s="3466">
        <v>108.35</v>
      </c>
      <c r="AM151" s="3467">
        <v>79.459999999999994</v>
      </c>
    </row>
    <row r="152" spans="36:39" s="3462" customFormat="1">
      <c r="AJ152" s="3464" t="s">
        <v>3353</v>
      </c>
      <c r="AK152" s="3465">
        <v>1302</v>
      </c>
      <c r="AL152" s="3466">
        <v>87.31</v>
      </c>
      <c r="AM152" s="3467">
        <v>64.03</v>
      </c>
    </row>
    <row r="153" spans="36:39" s="3462" customFormat="1">
      <c r="AJ153" s="3464" t="s">
        <v>3353</v>
      </c>
      <c r="AK153" s="3465">
        <v>1303</v>
      </c>
      <c r="AL153" s="3466">
        <v>87.31</v>
      </c>
      <c r="AM153" s="3467">
        <v>64.03</v>
      </c>
    </row>
    <row r="154" spans="36:39" s="3462" customFormat="1">
      <c r="AJ154" s="3464" t="s">
        <v>3353</v>
      </c>
      <c r="AK154" s="3465">
        <v>1401</v>
      </c>
      <c r="AL154" s="3466">
        <v>108.35</v>
      </c>
      <c r="AM154" s="3467">
        <v>79.459999999999994</v>
      </c>
    </row>
    <row r="155" spans="36:39" s="3462" customFormat="1">
      <c r="AJ155" s="3464" t="s">
        <v>3353</v>
      </c>
      <c r="AK155" s="3465">
        <v>1402</v>
      </c>
      <c r="AL155" s="3466">
        <v>87.31</v>
      </c>
      <c r="AM155" s="3467">
        <v>64.03</v>
      </c>
    </row>
    <row r="156" spans="36:39" s="3462" customFormat="1">
      <c r="AJ156" s="3464" t="s">
        <v>3353</v>
      </c>
      <c r="AK156" s="3465">
        <v>1404</v>
      </c>
      <c r="AL156" s="3466">
        <v>108.35</v>
      </c>
      <c r="AM156" s="3467">
        <v>79.459999999999994</v>
      </c>
    </row>
    <row r="157" spans="36:39" s="3462" customFormat="1">
      <c r="AJ157" s="3464" t="s">
        <v>3353</v>
      </c>
      <c r="AK157" s="3465">
        <v>1501</v>
      </c>
      <c r="AL157" s="3466">
        <v>108.35</v>
      </c>
      <c r="AM157" s="3467">
        <v>79.459999999999994</v>
      </c>
    </row>
    <row r="158" spans="36:39" s="3462" customFormat="1">
      <c r="AJ158" s="3464" t="s">
        <v>3353</v>
      </c>
      <c r="AK158" s="3465">
        <v>1502</v>
      </c>
      <c r="AL158" s="3466">
        <v>87.31</v>
      </c>
      <c r="AM158" s="3467">
        <v>64.03</v>
      </c>
    </row>
    <row r="159" spans="36:39" s="3462" customFormat="1">
      <c r="AJ159" s="3464" t="s">
        <v>3353</v>
      </c>
      <c r="AK159" s="3465">
        <v>1602</v>
      </c>
      <c r="AL159" s="3466">
        <v>87.31</v>
      </c>
      <c r="AM159" s="3467">
        <v>64.03</v>
      </c>
    </row>
    <row r="160" spans="36:39" s="3462" customFormat="1">
      <c r="AJ160" s="3464" t="s">
        <v>3353</v>
      </c>
      <c r="AK160" s="3465">
        <v>1701</v>
      </c>
      <c r="AL160" s="3466">
        <v>108.35</v>
      </c>
      <c r="AM160" s="3467">
        <v>79.459999999999994</v>
      </c>
    </row>
    <row r="161" spans="36:39" s="3462" customFormat="1">
      <c r="AJ161" s="3464" t="s">
        <v>3353</v>
      </c>
      <c r="AK161" s="3465">
        <v>1702</v>
      </c>
      <c r="AL161" s="3466">
        <v>87.31</v>
      </c>
      <c r="AM161" s="3467">
        <v>64.03</v>
      </c>
    </row>
    <row r="162" spans="36:39" s="3462" customFormat="1">
      <c r="AJ162" s="3464" t="s">
        <v>3353</v>
      </c>
      <c r="AK162" s="3465">
        <v>1703</v>
      </c>
      <c r="AL162" s="3466">
        <v>87.31</v>
      </c>
      <c r="AM162" s="3467">
        <v>64.03</v>
      </c>
    </row>
    <row r="163" spans="36:39" s="3462" customFormat="1">
      <c r="AJ163" s="3464" t="s">
        <v>3353</v>
      </c>
      <c r="AK163" s="3465">
        <v>1704</v>
      </c>
      <c r="AL163" s="3466">
        <v>108.35</v>
      </c>
      <c r="AM163" s="3467">
        <v>79.459999999999994</v>
      </c>
    </row>
    <row r="164" spans="36:39" s="3462" customFormat="1">
      <c r="AJ164" s="3464" t="s">
        <v>3353</v>
      </c>
      <c r="AK164" s="3465">
        <v>1801</v>
      </c>
      <c r="AL164" s="3466">
        <v>108.35</v>
      </c>
      <c r="AM164" s="3467">
        <v>79.459999999999994</v>
      </c>
    </row>
    <row r="165" spans="36:39" s="3462" customFormat="1">
      <c r="AJ165" s="3464" t="s">
        <v>3353</v>
      </c>
      <c r="AK165" s="3465">
        <v>1802</v>
      </c>
      <c r="AL165" s="3466">
        <v>87.31</v>
      </c>
      <c r="AM165" s="3467">
        <v>64.03</v>
      </c>
    </row>
    <row r="166" spans="36:39" s="3462" customFormat="1">
      <c r="AJ166" s="3464" t="s">
        <v>3353</v>
      </c>
      <c r="AK166" s="3465">
        <v>1803</v>
      </c>
      <c r="AL166" s="3466">
        <v>87.31</v>
      </c>
      <c r="AM166" s="3467">
        <v>64.03</v>
      </c>
    </row>
    <row r="167" spans="36:39" s="3462" customFormat="1">
      <c r="AJ167" s="3464" t="s">
        <v>3353</v>
      </c>
      <c r="AK167" s="3465">
        <v>1804</v>
      </c>
      <c r="AL167" s="3466">
        <v>108.35</v>
      </c>
      <c r="AM167" s="3467">
        <v>79.459999999999994</v>
      </c>
    </row>
    <row r="168" spans="36:39" s="3462" customFormat="1">
      <c r="AJ168" s="3464" t="s">
        <v>3353</v>
      </c>
      <c r="AK168" s="3465">
        <v>1901</v>
      </c>
      <c r="AL168" s="3466">
        <v>108.35</v>
      </c>
      <c r="AM168" s="3467">
        <v>79.459999999999994</v>
      </c>
    </row>
    <row r="169" spans="36:39" s="3462" customFormat="1">
      <c r="AJ169" s="3464" t="s">
        <v>3353</v>
      </c>
      <c r="AK169" s="3465">
        <v>1902</v>
      </c>
      <c r="AL169" s="3466">
        <v>87.31</v>
      </c>
      <c r="AM169" s="3467">
        <v>64.03</v>
      </c>
    </row>
    <row r="170" spans="36:39" s="3462" customFormat="1">
      <c r="AJ170" s="3464" t="s">
        <v>3353</v>
      </c>
      <c r="AK170" s="3465">
        <v>2001</v>
      </c>
      <c r="AL170" s="3466">
        <v>108.35</v>
      </c>
      <c r="AM170" s="3467">
        <v>79.459999999999994</v>
      </c>
    </row>
    <row r="171" spans="36:39" s="3462" customFormat="1">
      <c r="AJ171" s="3464" t="s">
        <v>3353</v>
      </c>
      <c r="AK171" s="3465">
        <v>2002</v>
      </c>
      <c r="AL171" s="3466">
        <v>87.31</v>
      </c>
      <c r="AM171" s="3467">
        <v>64.03</v>
      </c>
    </row>
    <row r="172" spans="36:39" s="3462" customFormat="1">
      <c r="AJ172" s="3464" t="s">
        <v>3353</v>
      </c>
      <c r="AK172" s="3465">
        <v>2004</v>
      </c>
      <c r="AL172" s="3466">
        <v>108.35</v>
      </c>
      <c r="AM172" s="3467">
        <v>79.459999999999994</v>
      </c>
    </row>
    <row r="173" spans="36:39" s="3462" customFormat="1">
      <c r="AJ173" s="3464" t="s">
        <v>3353</v>
      </c>
      <c r="AK173" s="3465">
        <v>2101</v>
      </c>
      <c r="AL173" s="3466">
        <v>108.35</v>
      </c>
      <c r="AM173" s="3467">
        <v>79.459999999999994</v>
      </c>
    </row>
    <row r="174" spans="36:39" s="3462" customFormat="1">
      <c r="AJ174" s="3464" t="s">
        <v>3353</v>
      </c>
      <c r="AK174" s="3465">
        <v>2102</v>
      </c>
      <c r="AL174" s="3466">
        <v>87.31</v>
      </c>
      <c r="AM174" s="3467">
        <v>64.03</v>
      </c>
    </row>
    <row r="175" spans="36:39" s="3462" customFormat="1">
      <c r="AJ175" s="3464" t="s">
        <v>3353</v>
      </c>
      <c r="AK175" s="3465">
        <v>2201</v>
      </c>
      <c r="AL175" s="3466">
        <v>108.35</v>
      </c>
      <c r="AM175" s="3467">
        <v>79.459999999999994</v>
      </c>
    </row>
    <row r="176" spans="36:39" s="3462" customFormat="1">
      <c r="AJ176" s="3464" t="s">
        <v>3353</v>
      </c>
      <c r="AK176" s="3465">
        <v>2202</v>
      </c>
      <c r="AL176" s="3466">
        <v>87.31</v>
      </c>
      <c r="AM176" s="3467">
        <v>64.03</v>
      </c>
    </row>
    <row r="177" spans="36:39" s="3462" customFormat="1">
      <c r="AJ177" s="3464" t="s">
        <v>3353</v>
      </c>
      <c r="AK177" s="3465">
        <v>2203</v>
      </c>
      <c r="AL177" s="3466">
        <v>87.31</v>
      </c>
      <c r="AM177" s="3467">
        <v>64.03</v>
      </c>
    </row>
    <row r="178" spans="36:39" s="3462" customFormat="1">
      <c r="AJ178" s="3464" t="s">
        <v>3353</v>
      </c>
      <c r="AK178" s="3465">
        <v>2204</v>
      </c>
      <c r="AL178" s="3466">
        <v>108.35</v>
      </c>
      <c r="AM178" s="3467">
        <v>79.459999999999994</v>
      </c>
    </row>
    <row r="179" spans="36:39" s="3462" customFormat="1">
      <c r="AJ179" s="3464" t="s">
        <v>3353</v>
      </c>
      <c r="AK179" s="3465">
        <v>2301</v>
      </c>
      <c r="AL179" s="3466">
        <v>108.35</v>
      </c>
      <c r="AM179" s="3467">
        <v>79.459999999999994</v>
      </c>
    </row>
    <row r="180" spans="36:39" s="3462" customFormat="1">
      <c r="AJ180" s="3464" t="s">
        <v>3353</v>
      </c>
      <c r="AK180" s="3465">
        <v>2302</v>
      </c>
      <c r="AL180" s="3466">
        <v>87.31</v>
      </c>
      <c r="AM180" s="3467">
        <v>64.03</v>
      </c>
    </row>
    <row r="181" spans="36:39" s="3462" customFormat="1">
      <c r="AJ181" s="3464" t="s">
        <v>3353</v>
      </c>
      <c r="AK181" s="3465">
        <v>2303</v>
      </c>
      <c r="AL181" s="3466">
        <v>87.31</v>
      </c>
      <c r="AM181" s="3467">
        <v>64.03</v>
      </c>
    </row>
    <row r="182" spans="36:39" s="3462" customFormat="1">
      <c r="AJ182" s="3464" t="s">
        <v>3353</v>
      </c>
      <c r="AK182" s="3465">
        <v>2304</v>
      </c>
      <c r="AL182" s="3466">
        <v>108.35</v>
      </c>
      <c r="AM182" s="3467">
        <v>79.459999999999994</v>
      </c>
    </row>
    <row r="183" spans="36:39" s="3462" customFormat="1">
      <c r="AJ183" s="3464" t="s">
        <v>3353</v>
      </c>
      <c r="AK183" s="3465">
        <v>2401</v>
      </c>
      <c r="AL183" s="3466">
        <v>108.35</v>
      </c>
      <c r="AM183" s="3467">
        <v>79.459999999999994</v>
      </c>
    </row>
    <row r="184" spans="36:39" s="3462" customFormat="1">
      <c r="AJ184" s="3464" t="s">
        <v>3353</v>
      </c>
      <c r="AK184" s="3465">
        <v>2402</v>
      </c>
      <c r="AL184" s="3466">
        <v>87.31</v>
      </c>
      <c r="AM184" s="3467">
        <v>64.03</v>
      </c>
    </row>
    <row r="185" spans="36:39" s="3462" customFormat="1">
      <c r="AJ185" s="3464" t="s">
        <v>3353</v>
      </c>
      <c r="AK185" s="3465">
        <v>2403</v>
      </c>
      <c r="AL185" s="3466">
        <v>87.31</v>
      </c>
      <c r="AM185" s="3467">
        <v>64.03</v>
      </c>
    </row>
    <row r="186" spans="36:39" s="3462" customFormat="1">
      <c r="AJ186" s="3464" t="s">
        <v>3353</v>
      </c>
      <c r="AK186" s="3465">
        <v>2501</v>
      </c>
      <c r="AL186" s="3466">
        <v>108.35</v>
      </c>
      <c r="AM186" s="3467">
        <v>79.459999999999994</v>
      </c>
    </row>
    <row r="187" spans="36:39" s="3462" customFormat="1">
      <c r="AJ187" s="3464" t="s">
        <v>3353</v>
      </c>
      <c r="AK187" s="3465">
        <v>2502</v>
      </c>
      <c r="AL187" s="3466">
        <v>87.31</v>
      </c>
      <c r="AM187" s="3467">
        <v>64.03</v>
      </c>
    </row>
    <row r="188" spans="36:39" s="3462" customFormat="1">
      <c r="AJ188" s="3464" t="s">
        <v>3353</v>
      </c>
      <c r="AK188" s="3465">
        <v>2503</v>
      </c>
      <c r="AL188" s="3466">
        <v>87.31</v>
      </c>
      <c r="AM188" s="3467">
        <v>64.03</v>
      </c>
    </row>
    <row r="189" spans="36:39" s="3462" customFormat="1">
      <c r="AJ189" s="3464" t="s">
        <v>3353</v>
      </c>
      <c r="AK189" s="3465">
        <v>2601</v>
      </c>
      <c r="AL189" s="3466">
        <v>108.35</v>
      </c>
      <c r="AM189" s="3467">
        <v>79.459999999999994</v>
      </c>
    </row>
    <row r="190" spans="36:39" s="3462" customFormat="1">
      <c r="AJ190" s="3464" t="s">
        <v>3353</v>
      </c>
      <c r="AK190" s="3465">
        <v>2602</v>
      </c>
      <c r="AL190" s="3466">
        <v>87.31</v>
      </c>
      <c r="AM190" s="3467">
        <v>64.03</v>
      </c>
    </row>
    <row r="191" spans="36:39" s="3462" customFormat="1">
      <c r="AJ191" s="3464" t="s">
        <v>3353</v>
      </c>
      <c r="AK191" s="3465">
        <v>2603</v>
      </c>
      <c r="AL191" s="3466">
        <v>87.31</v>
      </c>
      <c r="AM191" s="3467">
        <v>64.03</v>
      </c>
    </row>
    <row r="192" spans="36:39" s="3462" customFormat="1">
      <c r="AJ192" s="3464" t="s">
        <v>3353</v>
      </c>
      <c r="AK192" s="3465">
        <v>2604</v>
      </c>
      <c r="AL192" s="3466">
        <v>108.35</v>
      </c>
      <c r="AM192" s="3467">
        <v>79.459999999999994</v>
      </c>
    </row>
    <row r="193" spans="36:39" s="3462" customFormat="1">
      <c r="AJ193" s="3464" t="s">
        <v>3358</v>
      </c>
      <c r="AK193" s="3465">
        <v>101</v>
      </c>
      <c r="AL193" s="3466">
        <v>89.41</v>
      </c>
      <c r="AM193" s="3467">
        <v>65</v>
      </c>
    </row>
    <row r="194" spans="36:39" s="3462" customFormat="1">
      <c r="AJ194" s="3464" t="s">
        <v>3358</v>
      </c>
      <c r="AK194" s="3465">
        <v>102</v>
      </c>
      <c r="AL194" s="3466">
        <v>75.67</v>
      </c>
      <c r="AM194" s="3467">
        <v>55.01</v>
      </c>
    </row>
    <row r="195" spans="36:39" s="3462" customFormat="1">
      <c r="AJ195" s="3464" t="s">
        <v>3358</v>
      </c>
      <c r="AK195" s="3465">
        <v>103</v>
      </c>
      <c r="AL195" s="3466">
        <v>77.75</v>
      </c>
      <c r="AM195" s="3467">
        <v>56.52</v>
      </c>
    </row>
    <row r="196" spans="36:39" s="3462" customFormat="1">
      <c r="AJ196" s="3464" t="s">
        <v>3358</v>
      </c>
      <c r="AK196" s="3465">
        <v>104</v>
      </c>
      <c r="AL196" s="3466">
        <v>77.75</v>
      </c>
      <c r="AM196" s="3467">
        <v>56.52</v>
      </c>
    </row>
    <row r="197" spans="36:39" s="3462" customFormat="1">
      <c r="AJ197" s="3464" t="s">
        <v>3358</v>
      </c>
      <c r="AK197" s="3465">
        <v>105</v>
      </c>
      <c r="AL197" s="3466">
        <v>75.67</v>
      </c>
      <c r="AM197" s="3467">
        <v>55.01</v>
      </c>
    </row>
    <row r="198" spans="36:39" s="3462" customFormat="1">
      <c r="AJ198" s="3464" t="s">
        <v>3358</v>
      </c>
      <c r="AK198" s="3465">
        <v>106</v>
      </c>
      <c r="AL198" s="3466">
        <v>89.41</v>
      </c>
      <c r="AM198" s="3467">
        <v>65</v>
      </c>
    </row>
    <row r="199" spans="36:39" s="3462" customFormat="1">
      <c r="AJ199" s="3464" t="s">
        <v>3358</v>
      </c>
      <c r="AK199" s="3465">
        <v>201</v>
      </c>
      <c r="AL199" s="3466">
        <v>89.41</v>
      </c>
      <c r="AM199" s="3467">
        <v>65</v>
      </c>
    </row>
    <row r="200" spans="36:39" s="3462" customFormat="1">
      <c r="AJ200" s="3464" t="s">
        <v>3358</v>
      </c>
      <c r="AK200" s="3465">
        <v>202</v>
      </c>
      <c r="AL200" s="3466">
        <v>75.67</v>
      </c>
      <c r="AM200" s="3467">
        <v>55.01</v>
      </c>
    </row>
    <row r="201" spans="36:39" s="3462" customFormat="1">
      <c r="AJ201" s="3464" t="s">
        <v>3358</v>
      </c>
      <c r="AK201" s="3465">
        <v>203</v>
      </c>
      <c r="AL201" s="3466">
        <v>77.75</v>
      </c>
      <c r="AM201" s="3467">
        <v>56.52</v>
      </c>
    </row>
    <row r="202" spans="36:39" s="3462" customFormat="1">
      <c r="AJ202" s="3464" t="s">
        <v>3358</v>
      </c>
      <c r="AK202" s="3465">
        <v>204</v>
      </c>
      <c r="AL202" s="3466">
        <v>77.75</v>
      </c>
      <c r="AM202" s="3467">
        <v>56.52</v>
      </c>
    </row>
    <row r="203" spans="36:39" s="3462" customFormat="1">
      <c r="AJ203" s="3464" t="s">
        <v>3358</v>
      </c>
      <c r="AK203" s="3465">
        <v>703</v>
      </c>
      <c r="AL203" s="3466">
        <v>77.75</v>
      </c>
      <c r="AM203" s="3467">
        <v>56.52</v>
      </c>
    </row>
    <row r="204" spans="36:39" s="3462" customFormat="1">
      <c r="AJ204" s="3464" t="s">
        <v>3358</v>
      </c>
      <c r="AK204" s="3465">
        <v>803</v>
      </c>
      <c r="AL204" s="3466">
        <v>77.75</v>
      </c>
      <c r="AM204" s="3467">
        <v>56.52</v>
      </c>
    </row>
    <row r="205" spans="36:39" s="3462" customFormat="1">
      <c r="AJ205" s="3464" t="s">
        <v>3358</v>
      </c>
      <c r="AK205" s="3465">
        <v>903</v>
      </c>
      <c r="AL205" s="3466">
        <v>77.75</v>
      </c>
      <c r="AM205" s="3467">
        <v>56.52</v>
      </c>
    </row>
    <row r="206" spans="36:39" s="3462" customFormat="1">
      <c r="AJ206" s="3464" t="s">
        <v>3358</v>
      </c>
      <c r="AK206" s="3465">
        <v>1002</v>
      </c>
      <c r="AL206" s="3466">
        <v>75.67</v>
      </c>
      <c r="AM206" s="3467">
        <v>55.01</v>
      </c>
    </row>
    <row r="207" spans="36:39" s="3462" customFormat="1">
      <c r="AJ207" s="3464" t="s">
        <v>3358</v>
      </c>
      <c r="AK207" s="3465">
        <v>1003</v>
      </c>
      <c r="AL207" s="3466">
        <v>77.75</v>
      </c>
      <c r="AM207" s="3467">
        <v>56.52</v>
      </c>
    </row>
    <row r="208" spans="36:39" s="3462" customFormat="1">
      <c r="AJ208" s="3464" t="s">
        <v>3358</v>
      </c>
      <c r="AK208" s="3465">
        <v>1004</v>
      </c>
      <c r="AL208" s="3466">
        <v>77.75</v>
      </c>
      <c r="AM208" s="3467">
        <v>56.52</v>
      </c>
    </row>
    <row r="209" spans="36:39" s="3462" customFormat="1">
      <c r="AJ209" s="3464" t="s">
        <v>3358</v>
      </c>
      <c r="AK209" s="3465">
        <v>1102</v>
      </c>
      <c r="AL209" s="3466">
        <v>75.67</v>
      </c>
      <c r="AM209" s="3467">
        <v>55.01</v>
      </c>
    </row>
    <row r="210" spans="36:39" s="3462" customFormat="1">
      <c r="AJ210" s="3464" t="s">
        <v>3358</v>
      </c>
      <c r="AK210" s="3465">
        <v>1103</v>
      </c>
      <c r="AL210" s="3466">
        <v>77.75</v>
      </c>
      <c r="AM210" s="3467">
        <v>56.52</v>
      </c>
    </row>
    <row r="211" spans="36:39" s="3462" customFormat="1">
      <c r="AJ211" s="3464" t="s">
        <v>3358</v>
      </c>
      <c r="AK211" s="3465">
        <v>1104</v>
      </c>
      <c r="AL211" s="3466">
        <v>77.75</v>
      </c>
      <c r="AM211" s="3467">
        <v>56.52</v>
      </c>
    </row>
    <row r="212" spans="36:39" s="3462" customFormat="1">
      <c r="AJ212" s="3464" t="s">
        <v>3358</v>
      </c>
      <c r="AK212" s="3465">
        <v>1105</v>
      </c>
      <c r="AL212" s="3466">
        <v>75.67</v>
      </c>
      <c r="AM212" s="3467">
        <v>55.01</v>
      </c>
    </row>
    <row r="213" spans="36:39" s="3462" customFormat="1">
      <c r="AJ213" s="3464" t="s">
        <v>3358</v>
      </c>
      <c r="AK213" s="3465">
        <v>1106</v>
      </c>
      <c r="AL213" s="3466">
        <v>89.41</v>
      </c>
      <c r="AM213" s="3467">
        <v>65</v>
      </c>
    </row>
    <row r="214" spans="36:39" s="3462" customFormat="1">
      <c r="AJ214" s="3464" t="s">
        <v>3358</v>
      </c>
      <c r="AK214" s="3465">
        <v>1202</v>
      </c>
      <c r="AL214" s="3466">
        <v>75.67</v>
      </c>
      <c r="AM214" s="3467">
        <v>55.01</v>
      </c>
    </row>
    <row r="215" spans="36:39" s="3462" customFormat="1">
      <c r="AJ215" s="3464" t="s">
        <v>3358</v>
      </c>
      <c r="AK215" s="3465">
        <v>1203</v>
      </c>
      <c r="AL215" s="3466">
        <v>77.75</v>
      </c>
      <c r="AM215" s="3467">
        <v>56.52</v>
      </c>
    </row>
    <row r="216" spans="36:39" s="3462" customFormat="1">
      <c r="AJ216" s="3464" t="s">
        <v>3358</v>
      </c>
      <c r="AK216" s="3465">
        <v>1204</v>
      </c>
      <c r="AL216" s="3466">
        <v>77.75</v>
      </c>
      <c r="AM216" s="3467">
        <v>56.52</v>
      </c>
    </row>
    <row r="217" spans="36:39" s="3462" customFormat="1">
      <c r="AJ217" s="3464" t="s">
        <v>3358</v>
      </c>
      <c r="AK217" s="3465">
        <v>1205</v>
      </c>
      <c r="AL217" s="3466">
        <v>75.67</v>
      </c>
      <c r="AM217" s="3467">
        <v>55.01</v>
      </c>
    </row>
    <row r="218" spans="36:39" s="3462" customFormat="1">
      <c r="AJ218" s="3464" t="s">
        <v>3358</v>
      </c>
      <c r="AK218" s="3465">
        <v>1206</v>
      </c>
      <c r="AL218" s="3466">
        <v>89.41</v>
      </c>
      <c r="AM218" s="3467">
        <v>65</v>
      </c>
    </row>
    <row r="219" spans="36:39" s="3462" customFormat="1">
      <c r="AJ219" s="3464" t="s">
        <v>3358</v>
      </c>
      <c r="AK219" s="3465">
        <v>1301</v>
      </c>
      <c r="AL219" s="3466">
        <v>89.41</v>
      </c>
      <c r="AM219" s="3467">
        <v>65</v>
      </c>
    </row>
    <row r="220" spans="36:39" s="3462" customFormat="1">
      <c r="AJ220" s="3464" t="s">
        <v>3358</v>
      </c>
      <c r="AK220" s="3465">
        <v>1302</v>
      </c>
      <c r="AL220" s="3466">
        <v>75.67</v>
      </c>
      <c r="AM220" s="3467">
        <v>55.01</v>
      </c>
    </row>
    <row r="221" spans="36:39" s="3462" customFormat="1">
      <c r="AJ221" s="3464" t="s">
        <v>3358</v>
      </c>
      <c r="AK221" s="3465">
        <v>1303</v>
      </c>
      <c r="AL221" s="3466">
        <v>77.75</v>
      </c>
      <c r="AM221" s="3467">
        <v>56.52</v>
      </c>
    </row>
    <row r="222" spans="36:39" s="3462" customFormat="1">
      <c r="AJ222" s="3464" t="s">
        <v>3358</v>
      </c>
      <c r="AK222" s="3465">
        <v>1304</v>
      </c>
      <c r="AL222" s="3466">
        <v>77.75</v>
      </c>
      <c r="AM222" s="3467">
        <v>56.52</v>
      </c>
    </row>
    <row r="223" spans="36:39" s="3462" customFormat="1">
      <c r="AJ223" s="3464" t="s">
        <v>3358</v>
      </c>
      <c r="AK223" s="3465">
        <v>1305</v>
      </c>
      <c r="AL223" s="3466">
        <v>75.67</v>
      </c>
      <c r="AM223" s="3467">
        <v>55.01</v>
      </c>
    </row>
    <row r="224" spans="36:39" s="3462" customFormat="1">
      <c r="AJ224" s="3464" t="s">
        <v>3358</v>
      </c>
      <c r="AK224" s="3465">
        <v>1306</v>
      </c>
      <c r="AL224" s="3466">
        <v>89.41</v>
      </c>
      <c r="AM224" s="3467">
        <v>65</v>
      </c>
    </row>
    <row r="225" spans="36:39" s="3462" customFormat="1">
      <c r="AJ225" s="3464" t="s">
        <v>3358</v>
      </c>
      <c r="AK225" s="3465">
        <v>1401</v>
      </c>
      <c r="AL225" s="3466">
        <v>89.41</v>
      </c>
      <c r="AM225" s="3467">
        <v>65</v>
      </c>
    </row>
    <row r="226" spans="36:39" s="3462" customFormat="1">
      <c r="AJ226" s="3464" t="s">
        <v>3358</v>
      </c>
      <c r="AK226" s="3465">
        <v>1402</v>
      </c>
      <c r="AL226" s="3466">
        <v>75.67</v>
      </c>
      <c r="AM226" s="3467">
        <v>55.01</v>
      </c>
    </row>
    <row r="227" spans="36:39" s="3462" customFormat="1">
      <c r="AJ227" s="3464" t="s">
        <v>3358</v>
      </c>
      <c r="AK227" s="3465">
        <v>1403</v>
      </c>
      <c r="AL227" s="3466">
        <v>77.75</v>
      </c>
      <c r="AM227" s="3467">
        <v>56.52</v>
      </c>
    </row>
    <row r="228" spans="36:39" s="3462" customFormat="1">
      <c r="AJ228" s="3464" t="s">
        <v>3358</v>
      </c>
      <c r="AK228" s="3465">
        <v>1404</v>
      </c>
      <c r="AL228" s="3466">
        <v>77.75</v>
      </c>
      <c r="AM228" s="3467">
        <v>56.52</v>
      </c>
    </row>
    <row r="229" spans="36:39" s="3462" customFormat="1">
      <c r="AJ229" s="3464" t="s">
        <v>3358</v>
      </c>
      <c r="AK229" s="3465">
        <v>1405</v>
      </c>
      <c r="AL229" s="3466">
        <v>75.67</v>
      </c>
      <c r="AM229" s="3467">
        <v>55.01</v>
      </c>
    </row>
    <row r="230" spans="36:39" s="3462" customFormat="1">
      <c r="AJ230" s="3464" t="s">
        <v>3358</v>
      </c>
      <c r="AK230" s="3465">
        <v>1406</v>
      </c>
      <c r="AL230" s="3466">
        <v>89.41</v>
      </c>
      <c r="AM230" s="3467">
        <v>65</v>
      </c>
    </row>
    <row r="231" spans="36:39" s="3462" customFormat="1">
      <c r="AJ231" s="3464" t="s">
        <v>3358</v>
      </c>
      <c r="AK231" s="3465">
        <v>1502</v>
      </c>
      <c r="AL231" s="3466">
        <v>75.67</v>
      </c>
      <c r="AM231" s="3467">
        <v>55.01</v>
      </c>
    </row>
    <row r="232" spans="36:39" s="3462" customFormat="1">
      <c r="AJ232" s="3464" t="s">
        <v>3358</v>
      </c>
      <c r="AK232" s="3465">
        <v>1503</v>
      </c>
      <c r="AL232" s="3466">
        <v>77.75</v>
      </c>
      <c r="AM232" s="3467">
        <v>56.52</v>
      </c>
    </row>
    <row r="233" spans="36:39" s="3462" customFormat="1">
      <c r="AJ233" s="3464" t="s">
        <v>3358</v>
      </c>
      <c r="AK233" s="3465">
        <v>1504</v>
      </c>
      <c r="AL233" s="3466">
        <v>77.75</v>
      </c>
      <c r="AM233" s="3467">
        <v>56.52</v>
      </c>
    </row>
    <row r="234" spans="36:39" s="3462" customFormat="1">
      <c r="AJ234" s="3464" t="s">
        <v>3358</v>
      </c>
      <c r="AK234" s="3465">
        <v>1602</v>
      </c>
      <c r="AL234" s="3466">
        <v>75.67</v>
      </c>
      <c r="AM234" s="3467">
        <v>55.01</v>
      </c>
    </row>
    <row r="235" spans="36:39" s="3462" customFormat="1">
      <c r="AJ235" s="3464" t="s">
        <v>3358</v>
      </c>
      <c r="AK235" s="3465">
        <v>1603</v>
      </c>
      <c r="AL235" s="3466">
        <v>77.75</v>
      </c>
      <c r="AM235" s="3467">
        <v>56.52</v>
      </c>
    </row>
    <row r="236" spans="36:39" s="3462" customFormat="1">
      <c r="AJ236" s="3464" t="s">
        <v>3358</v>
      </c>
      <c r="AK236" s="3465">
        <v>1604</v>
      </c>
      <c r="AL236" s="3466">
        <v>77.75</v>
      </c>
      <c r="AM236" s="3467">
        <v>56.52</v>
      </c>
    </row>
    <row r="237" spans="36:39" s="3462" customFormat="1">
      <c r="AJ237" s="3464" t="s">
        <v>3358</v>
      </c>
      <c r="AK237" s="3465">
        <v>1605</v>
      </c>
      <c r="AL237" s="3466">
        <v>75.67</v>
      </c>
      <c r="AM237" s="3467">
        <v>55.01</v>
      </c>
    </row>
    <row r="238" spans="36:39" s="3462" customFormat="1">
      <c r="AJ238" s="3464" t="s">
        <v>3358</v>
      </c>
      <c r="AK238" s="3465">
        <v>1606</v>
      </c>
      <c r="AL238" s="3466">
        <v>89.41</v>
      </c>
      <c r="AM238" s="3467">
        <v>65</v>
      </c>
    </row>
    <row r="239" spans="36:39" s="3462" customFormat="1">
      <c r="AJ239" s="3464" t="s">
        <v>3358</v>
      </c>
      <c r="AK239" s="3465">
        <v>1703</v>
      </c>
      <c r="AL239" s="3466">
        <v>77.75</v>
      </c>
      <c r="AM239" s="3467">
        <v>56.52</v>
      </c>
    </row>
    <row r="240" spans="36:39" s="3462" customFormat="1">
      <c r="AJ240" s="3464" t="s">
        <v>3358</v>
      </c>
      <c r="AK240" s="3465">
        <v>1704</v>
      </c>
      <c r="AL240" s="3466">
        <v>77.75</v>
      </c>
      <c r="AM240" s="3467">
        <v>56.52</v>
      </c>
    </row>
    <row r="241" spans="36:39" s="3462" customFormat="1">
      <c r="AJ241" s="3464" t="s">
        <v>3358</v>
      </c>
      <c r="AK241" s="3465">
        <v>1705</v>
      </c>
      <c r="AL241" s="3466">
        <v>75.67</v>
      </c>
      <c r="AM241" s="3467">
        <v>55.01</v>
      </c>
    </row>
    <row r="242" spans="36:39" s="3462" customFormat="1">
      <c r="AJ242" s="3464" t="s">
        <v>3358</v>
      </c>
      <c r="AK242" s="3465">
        <v>1706</v>
      </c>
      <c r="AL242" s="3466">
        <v>89.41</v>
      </c>
      <c r="AM242" s="3467">
        <v>65</v>
      </c>
    </row>
    <row r="243" spans="36:39" s="3462" customFormat="1">
      <c r="AJ243" s="3464" t="s">
        <v>3358</v>
      </c>
      <c r="AK243" s="3465">
        <v>1801</v>
      </c>
      <c r="AL243" s="3466">
        <v>89.41</v>
      </c>
      <c r="AM243" s="3467">
        <v>65</v>
      </c>
    </row>
    <row r="244" spans="36:39" s="3462" customFormat="1">
      <c r="AJ244" s="3464" t="s">
        <v>3358</v>
      </c>
      <c r="AK244" s="3465">
        <v>1802</v>
      </c>
      <c r="AL244" s="3466">
        <v>75.67</v>
      </c>
      <c r="AM244" s="3467">
        <v>55.01</v>
      </c>
    </row>
    <row r="245" spans="36:39" s="3462" customFormat="1">
      <c r="AJ245" s="3464" t="s">
        <v>3358</v>
      </c>
      <c r="AK245" s="3465">
        <v>1803</v>
      </c>
      <c r="AL245" s="3466">
        <v>77.75</v>
      </c>
      <c r="AM245" s="3467">
        <v>56.52</v>
      </c>
    </row>
    <row r="246" spans="36:39" s="3462" customFormat="1">
      <c r="AJ246" s="3464" t="s">
        <v>3358</v>
      </c>
      <c r="AK246" s="3465">
        <v>1804</v>
      </c>
      <c r="AL246" s="3466">
        <v>77.75</v>
      </c>
      <c r="AM246" s="3467">
        <v>56.52</v>
      </c>
    </row>
    <row r="247" spans="36:39" s="3462" customFormat="1">
      <c r="AJ247" s="3464" t="s">
        <v>3358</v>
      </c>
      <c r="AK247" s="3465">
        <v>1805</v>
      </c>
      <c r="AL247" s="3466">
        <v>75.67</v>
      </c>
      <c r="AM247" s="3467">
        <v>55.01</v>
      </c>
    </row>
    <row r="248" spans="36:39" s="3462" customFormat="1">
      <c r="AJ248" s="3464" t="s">
        <v>3358</v>
      </c>
      <c r="AK248" s="3465">
        <v>1806</v>
      </c>
      <c r="AL248" s="3466">
        <v>89.41</v>
      </c>
      <c r="AM248" s="3467">
        <v>65</v>
      </c>
    </row>
    <row r="249" spans="36:39" s="3462" customFormat="1">
      <c r="AJ249" s="3464" t="s">
        <v>3358</v>
      </c>
      <c r="AK249" s="3465">
        <v>1901</v>
      </c>
      <c r="AL249" s="3466">
        <v>89.41</v>
      </c>
      <c r="AM249" s="3467">
        <v>65</v>
      </c>
    </row>
    <row r="250" spans="36:39" s="3462" customFormat="1">
      <c r="AJ250" s="3464" t="s">
        <v>3358</v>
      </c>
      <c r="AK250" s="3465">
        <v>1902</v>
      </c>
      <c r="AL250" s="3466">
        <v>75.67</v>
      </c>
      <c r="AM250" s="3467">
        <v>55.01</v>
      </c>
    </row>
    <row r="251" spans="36:39" s="3462" customFormat="1">
      <c r="AJ251" s="3464" t="s">
        <v>3358</v>
      </c>
      <c r="AK251" s="3465">
        <v>1903</v>
      </c>
      <c r="AL251" s="3466">
        <v>77.75</v>
      </c>
      <c r="AM251" s="3467">
        <v>56.52</v>
      </c>
    </row>
    <row r="252" spans="36:39" s="3462" customFormat="1">
      <c r="AJ252" s="3464" t="s">
        <v>3358</v>
      </c>
      <c r="AK252" s="3465">
        <v>1904</v>
      </c>
      <c r="AL252" s="3466">
        <v>77.75</v>
      </c>
      <c r="AM252" s="3467">
        <v>56.52</v>
      </c>
    </row>
    <row r="253" spans="36:39" s="3462" customFormat="1">
      <c r="AJ253" s="3464" t="s">
        <v>3358</v>
      </c>
      <c r="AK253" s="3465">
        <v>1905</v>
      </c>
      <c r="AL253" s="3466">
        <v>75.67</v>
      </c>
      <c r="AM253" s="3467">
        <v>55.01</v>
      </c>
    </row>
    <row r="254" spans="36:39" s="3462" customFormat="1">
      <c r="AJ254" s="3464" t="s">
        <v>3358</v>
      </c>
      <c r="AK254" s="3465">
        <v>1906</v>
      </c>
      <c r="AL254" s="3466">
        <v>89.41</v>
      </c>
      <c r="AM254" s="3467">
        <v>65</v>
      </c>
    </row>
    <row r="255" spans="36:39" s="3462" customFormat="1">
      <c r="AJ255" s="3464" t="s">
        <v>3358</v>
      </c>
      <c r="AK255" s="3465">
        <v>2001</v>
      </c>
      <c r="AL255" s="3466">
        <v>89.41</v>
      </c>
      <c r="AM255" s="3467">
        <v>65</v>
      </c>
    </row>
    <row r="256" spans="36:39" s="3462" customFormat="1">
      <c r="AJ256" s="3464" t="s">
        <v>3358</v>
      </c>
      <c r="AK256" s="3465">
        <v>2002</v>
      </c>
      <c r="AL256" s="3466">
        <v>75.67</v>
      </c>
      <c r="AM256" s="3467">
        <v>55.01</v>
      </c>
    </row>
    <row r="257" spans="36:39" s="3462" customFormat="1">
      <c r="AJ257" s="3464" t="s">
        <v>3358</v>
      </c>
      <c r="AK257" s="3465">
        <v>2003</v>
      </c>
      <c r="AL257" s="3466">
        <v>77.75</v>
      </c>
      <c r="AM257" s="3467">
        <v>56.52</v>
      </c>
    </row>
    <row r="258" spans="36:39" s="3462" customFormat="1">
      <c r="AJ258" s="3464" t="s">
        <v>3358</v>
      </c>
      <c r="AK258" s="3465">
        <v>2004</v>
      </c>
      <c r="AL258" s="3466">
        <v>77.75</v>
      </c>
      <c r="AM258" s="3467">
        <v>56.52</v>
      </c>
    </row>
    <row r="259" spans="36:39" s="3462" customFormat="1">
      <c r="AJ259" s="3464" t="s">
        <v>3358</v>
      </c>
      <c r="AK259" s="3465">
        <v>2006</v>
      </c>
      <c r="AL259" s="3466">
        <v>89.41</v>
      </c>
      <c r="AM259" s="3467">
        <v>65</v>
      </c>
    </row>
    <row r="260" spans="36:39" s="3462" customFormat="1">
      <c r="AJ260" s="3464" t="s">
        <v>3358</v>
      </c>
      <c r="AK260" s="3465">
        <v>2101</v>
      </c>
      <c r="AL260" s="3466">
        <v>89.41</v>
      </c>
      <c r="AM260" s="3467">
        <v>65</v>
      </c>
    </row>
    <row r="261" spans="36:39" s="3462" customFormat="1">
      <c r="AJ261" s="3464" t="s">
        <v>3358</v>
      </c>
      <c r="AK261" s="3465">
        <v>2102</v>
      </c>
      <c r="AL261" s="3466">
        <v>75.67</v>
      </c>
      <c r="AM261" s="3467">
        <v>55.01</v>
      </c>
    </row>
    <row r="262" spans="36:39" s="3462" customFormat="1">
      <c r="AJ262" s="3464" t="s">
        <v>3358</v>
      </c>
      <c r="AK262" s="3465">
        <v>2103</v>
      </c>
      <c r="AL262" s="3466">
        <v>77.75</v>
      </c>
      <c r="AM262" s="3467">
        <v>56.52</v>
      </c>
    </row>
    <row r="263" spans="36:39" s="3462" customFormat="1">
      <c r="AJ263" s="3464" t="s">
        <v>3358</v>
      </c>
      <c r="AK263" s="3465">
        <v>2104</v>
      </c>
      <c r="AL263" s="3466">
        <v>77.75</v>
      </c>
      <c r="AM263" s="3467">
        <v>56.52</v>
      </c>
    </row>
    <row r="264" spans="36:39" s="3462" customFormat="1">
      <c r="AJ264" s="3464" t="s">
        <v>3358</v>
      </c>
      <c r="AK264" s="3465">
        <v>2105</v>
      </c>
      <c r="AL264" s="3466">
        <v>75.67</v>
      </c>
      <c r="AM264" s="3467">
        <v>55.01</v>
      </c>
    </row>
    <row r="265" spans="36:39" s="3462" customFormat="1">
      <c r="AJ265" s="3464" t="s">
        <v>3358</v>
      </c>
      <c r="AK265" s="3465">
        <v>2106</v>
      </c>
      <c r="AL265" s="3466">
        <v>89.41</v>
      </c>
      <c r="AM265" s="3467">
        <v>65</v>
      </c>
    </row>
    <row r="266" spans="36:39" s="3462" customFormat="1">
      <c r="AJ266" s="3464" t="s">
        <v>3358</v>
      </c>
      <c r="AK266" s="3465">
        <v>2201</v>
      </c>
      <c r="AL266" s="3466">
        <v>89.41</v>
      </c>
      <c r="AM266" s="3467">
        <v>65</v>
      </c>
    </row>
    <row r="267" spans="36:39" s="3462" customFormat="1">
      <c r="AJ267" s="3464" t="s">
        <v>3358</v>
      </c>
      <c r="AK267" s="3465">
        <v>2202</v>
      </c>
      <c r="AL267" s="3466">
        <v>75.67</v>
      </c>
      <c r="AM267" s="3467">
        <v>55.01</v>
      </c>
    </row>
    <row r="268" spans="36:39" s="3462" customFormat="1">
      <c r="AJ268" s="3464" t="s">
        <v>3358</v>
      </c>
      <c r="AK268" s="3465">
        <v>2203</v>
      </c>
      <c r="AL268" s="3466">
        <v>77.75</v>
      </c>
      <c r="AM268" s="3467">
        <v>56.52</v>
      </c>
    </row>
    <row r="269" spans="36:39" s="3462" customFormat="1">
      <c r="AJ269" s="3464" t="s">
        <v>3358</v>
      </c>
      <c r="AK269" s="3465">
        <v>2204</v>
      </c>
      <c r="AL269" s="3466">
        <v>77.75</v>
      </c>
      <c r="AM269" s="3467">
        <v>56.52</v>
      </c>
    </row>
    <row r="270" spans="36:39" s="3462" customFormat="1">
      <c r="AJ270" s="3464" t="s">
        <v>3358</v>
      </c>
      <c r="AK270" s="3465">
        <v>2205</v>
      </c>
      <c r="AL270" s="3466">
        <v>75.67</v>
      </c>
      <c r="AM270" s="3467">
        <v>55.01</v>
      </c>
    </row>
    <row r="271" spans="36:39" s="3462" customFormat="1">
      <c r="AJ271" s="3464" t="s">
        <v>3358</v>
      </c>
      <c r="AK271" s="3465">
        <v>2206</v>
      </c>
      <c r="AL271" s="3466">
        <v>89.41</v>
      </c>
      <c r="AM271" s="3467">
        <v>65</v>
      </c>
    </row>
    <row r="272" spans="36:39" s="3462" customFormat="1">
      <c r="AJ272" s="3464" t="s">
        <v>3358</v>
      </c>
      <c r="AK272" s="3465">
        <v>2301</v>
      </c>
      <c r="AL272" s="3466">
        <v>89.41</v>
      </c>
      <c r="AM272" s="3467">
        <v>65</v>
      </c>
    </row>
    <row r="273" spans="36:39" s="3462" customFormat="1">
      <c r="AJ273" s="3464" t="s">
        <v>3358</v>
      </c>
      <c r="AK273" s="3465">
        <v>2302</v>
      </c>
      <c r="AL273" s="3466">
        <v>75.67</v>
      </c>
      <c r="AM273" s="3467">
        <v>55.01</v>
      </c>
    </row>
    <row r="274" spans="36:39" s="3462" customFormat="1">
      <c r="AJ274" s="3464" t="s">
        <v>3358</v>
      </c>
      <c r="AK274" s="3465">
        <v>2303</v>
      </c>
      <c r="AL274" s="3466">
        <v>77.75</v>
      </c>
      <c r="AM274" s="3467">
        <v>56.52</v>
      </c>
    </row>
    <row r="275" spans="36:39" s="3462" customFormat="1">
      <c r="AJ275" s="3464" t="s">
        <v>3358</v>
      </c>
      <c r="AK275" s="3465">
        <v>2304</v>
      </c>
      <c r="AL275" s="3466">
        <v>77.75</v>
      </c>
      <c r="AM275" s="3467">
        <v>56.52</v>
      </c>
    </row>
    <row r="276" spans="36:39" s="3462" customFormat="1">
      <c r="AJ276" s="3464" t="s">
        <v>3358</v>
      </c>
      <c r="AK276" s="3465">
        <v>2305</v>
      </c>
      <c r="AL276" s="3466">
        <v>75.67</v>
      </c>
      <c r="AM276" s="3467">
        <v>55.01</v>
      </c>
    </row>
    <row r="277" spans="36:39" s="3462" customFormat="1">
      <c r="AJ277" s="3464" t="s">
        <v>3358</v>
      </c>
      <c r="AK277" s="3465">
        <v>2306</v>
      </c>
      <c r="AL277" s="3466">
        <v>89.41</v>
      </c>
      <c r="AM277" s="3467">
        <v>65</v>
      </c>
    </row>
    <row r="278" spans="36:39" s="3462" customFormat="1">
      <c r="AJ278" s="3464" t="s">
        <v>3358</v>
      </c>
      <c r="AK278" s="3465">
        <v>2401</v>
      </c>
      <c r="AL278" s="3466">
        <v>89.41</v>
      </c>
      <c r="AM278" s="3467">
        <v>65</v>
      </c>
    </row>
    <row r="279" spans="36:39" s="3462" customFormat="1">
      <c r="AJ279" s="3464" t="s">
        <v>3358</v>
      </c>
      <c r="AK279" s="3465">
        <v>2402</v>
      </c>
      <c r="AL279" s="3466">
        <v>75.67</v>
      </c>
      <c r="AM279" s="3467">
        <v>55.01</v>
      </c>
    </row>
    <row r="280" spans="36:39" s="3462" customFormat="1">
      <c r="AJ280" s="3464" t="s">
        <v>3358</v>
      </c>
      <c r="AK280" s="3465">
        <v>2404</v>
      </c>
      <c r="AL280" s="3466">
        <v>77.75</v>
      </c>
      <c r="AM280" s="3467">
        <v>56.52</v>
      </c>
    </row>
    <row r="281" spans="36:39" s="3462" customFormat="1">
      <c r="AJ281" s="3464" t="s">
        <v>3358</v>
      </c>
      <c r="AK281" s="3465">
        <v>2405</v>
      </c>
      <c r="AL281" s="3466">
        <v>75.67</v>
      </c>
      <c r="AM281" s="3467">
        <v>55.01</v>
      </c>
    </row>
    <row r="282" spans="36:39" s="3462" customFormat="1">
      <c r="AJ282" s="3464" t="s">
        <v>3358</v>
      </c>
      <c r="AK282" s="3465">
        <v>2406</v>
      </c>
      <c r="AL282" s="3466">
        <v>89.41</v>
      </c>
      <c r="AM282" s="3467">
        <v>65</v>
      </c>
    </row>
    <row r="283" spans="36:39" s="3462" customFormat="1">
      <c r="AJ283" s="3464" t="s">
        <v>3358</v>
      </c>
      <c r="AK283" s="3465">
        <v>2501</v>
      </c>
      <c r="AL283" s="3466">
        <v>89.41</v>
      </c>
      <c r="AM283" s="3467">
        <v>65</v>
      </c>
    </row>
    <row r="284" spans="36:39" s="3462" customFormat="1">
      <c r="AJ284" s="3464" t="s">
        <v>3358</v>
      </c>
      <c r="AK284" s="3465">
        <v>2502</v>
      </c>
      <c r="AL284" s="3466">
        <v>75.67</v>
      </c>
      <c r="AM284" s="3467">
        <v>55.01</v>
      </c>
    </row>
    <row r="285" spans="36:39" s="3462" customFormat="1">
      <c r="AJ285" s="3464" t="s">
        <v>3358</v>
      </c>
      <c r="AK285" s="3465">
        <v>2503</v>
      </c>
      <c r="AL285" s="3466">
        <v>77.75</v>
      </c>
      <c r="AM285" s="3467">
        <v>56.52</v>
      </c>
    </row>
    <row r="286" spans="36:39" s="3462" customFormat="1">
      <c r="AJ286" s="3464" t="s">
        <v>3358</v>
      </c>
      <c r="AK286" s="3465">
        <v>2504</v>
      </c>
      <c r="AL286" s="3466">
        <v>77.75</v>
      </c>
      <c r="AM286" s="3467">
        <v>56.52</v>
      </c>
    </row>
    <row r="287" spans="36:39" s="3462" customFormat="1">
      <c r="AJ287" s="3464" t="s">
        <v>3358</v>
      </c>
      <c r="AK287" s="3465">
        <v>2505</v>
      </c>
      <c r="AL287" s="3466">
        <v>75.67</v>
      </c>
      <c r="AM287" s="3467">
        <v>55.01</v>
      </c>
    </row>
    <row r="288" spans="36:39" s="3462" customFormat="1">
      <c r="AJ288" s="3464" t="s">
        <v>3358</v>
      </c>
      <c r="AK288" s="3465">
        <v>2506</v>
      </c>
      <c r="AL288" s="3466">
        <v>89.41</v>
      </c>
      <c r="AM288" s="3467">
        <v>65</v>
      </c>
    </row>
    <row r="289" spans="36:39" s="3462" customFormat="1">
      <c r="AJ289" s="3464" t="s">
        <v>3358</v>
      </c>
      <c r="AK289" s="3465">
        <v>2601</v>
      </c>
      <c r="AL289" s="3466">
        <v>89.41</v>
      </c>
      <c r="AM289" s="3467">
        <v>65</v>
      </c>
    </row>
    <row r="290" spans="36:39" s="3462" customFormat="1">
      <c r="AJ290" s="3464" t="s">
        <v>3358</v>
      </c>
      <c r="AK290" s="3465">
        <v>2602</v>
      </c>
      <c r="AL290" s="3466">
        <v>75.67</v>
      </c>
      <c r="AM290" s="3467">
        <v>55.01</v>
      </c>
    </row>
    <row r="291" spans="36:39" s="3462" customFormat="1">
      <c r="AJ291" s="3464" t="s">
        <v>3358</v>
      </c>
      <c r="AK291" s="3465">
        <v>2603</v>
      </c>
      <c r="AL291" s="3466">
        <v>77.75</v>
      </c>
      <c r="AM291" s="3467">
        <v>56.52</v>
      </c>
    </row>
    <row r="292" spans="36:39" s="3462" customFormat="1">
      <c r="AJ292" s="3464" t="s">
        <v>3358</v>
      </c>
      <c r="AK292" s="3465">
        <v>2604</v>
      </c>
      <c r="AL292" s="3466">
        <v>77.75</v>
      </c>
      <c r="AM292" s="3467">
        <v>56.52</v>
      </c>
    </row>
    <row r="293" spans="36:39" s="3462" customFormat="1">
      <c r="AJ293" s="3464" t="s">
        <v>3358</v>
      </c>
      <c r="AK293" s="3465">
        <v>2605</v>
      </c>
      <c r="AL293" s="3466">
        <v>75.67</v>
      </c>
      <c r="AM293" s="3467">
        <v>55.01</v>
      </c>
    </row>
    <row r="294" spans="36:39" s="3462" customFormat="1">
      <c r="AJ294" s="3464" t="s">
        <v>3358</v>
      </c>
      <c r="AK294" s="3465">
        <v>2606</v>
      </c>
      <c r="AL294" s="3466">
        <v>89.41</v>
      </c>
      <c r="AM294" s="3467">
        <v>65</v>
      </c>
    </row>
    <row r="295" spans="36:39" s="3462" customFormat="1">
      <c r="AJ295" s="3480"/>
      <c r="AK295" s="3480"/>
      <c r="AL295" s="3483"/>
      <c r="AM295" s="3480"/>
    </row>
    <row r="296" spans="36:39" s="3462" customFormat="1" ht="15">
      <c r="AJ296" s="3480"/>
      <c r="AK296" s="3480"/>
      <c r="AL296" s="3509">
        <f>SUM(AH2:AH296)</f>
        <v>0</v>
      </c>
      <c r="AM296" s="3510">
        <f>SUM(AI2:AI296)</f>
        <v>5.125</v>
      </c>
    </row>
  </sheetData>
  <mergeCells count="28">
    <mergeCell ref="N27:O27"/>
    <mergeCell ref="AH7:AH18"/>
    <mergeCell ref="N19:N24"/>
    <mergeCell ref="O19:O24"/>
    <mergeCell ref="P19:P24"/>
    <mergeCell ref="Q19:Q24"/>
    <mergeCell ref="AG19:AG24"/>
    <mergeCell ref="AH19:AH24"/>
    <mergeCell ref="N7:N18"/>
    <mergeCell ref="O7:O18"/>
    <mergeCell ref="P7:P18"/>
    <mergeCell ref="Q7:Q18"/>
    <mergeCell ref="AG7:AG18"/>
    <mergeCell ref="O1:AH1"/>
    <mergeCell ref="N2:N4"/>
    <mergeCell ref="O2:O4"/>
    <mergeCell ref="P2:P4"/>
    <mergeCell ref="Q2:Q4"/>
    <mergeCell ref="R2:R4"/>
    <mergeCell ref="S2:AA2"/>
    <mergeCell ref="AB2:AB4"/>
    <mergeCell ref="AC2:AD2"/>
    <mergeCell ref="AE2:AE4"/>
    <mergeCell ref="AF2:AF4"/>
    <mergeCell ref="AG2:AG4"/>
    <mergeCell ref="AH2:AH4"/>
    <mergeCell ref="S3:Y3"/>
    <mergeCell ref="Z3:AA3"/>
  </mergeCells>
  <phoneticPr fontId="225"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4"/>
  <sheetViews>
    <sheetView zoomScale="80" zoomScaleNormal="80" workbookViewId="0">
      <selection activeCell="R21" sqref="R21"/>
    </sheetView>
  </sheetViews>
  <sheetFormatPr defaultRowHeight="13.5"/>
  <cols>
    <col min="7" max="7" width="10.25" customWidth="1"/>
    <col min="9" max="9" width="10.375" customWidth="1"/>
  </cols>
  <sheetData>
    <row r="2" spans="1:20" ht="13.5" customHeight="1">
      <c r="A2" s="3618" t="s">
        <v>3938</v>
      </c>
      <c r="B2" s="3619" t="s">
        <v>3136</v>
      </c>
      <c r="C2" s="3618" t="s">
        <v>3939</v>
      </c>
      <c r="D2" s="3618" t="s">
        <v>3940</v>
      </c>
      <c r="E2" s="3620" t="s">
        <v>3941</v>
      </c>
      <c r="F2" s="3618" t="s">
        <v>3942</v>
      </c>
      <c r="G2" s="3618"/>
      <c r="H2" s="3618"/>
      <c r="I2" s="3618"/>
      <c r="J2" s="3618"/>
      <c r="K2" s="3618"/>
      <c r="L2" s="3618"/>
      <c r="M2" s="3618"/>
      <c r="N2" s="3618"/>
      <c r="O2" s="3618" t="s">
        <v>3943</v>
      </c>
      <c r="P2" s="3618" t="s">
        <v>3944</v>
      </c>
      <c r="Q2" s="3618"/>
      <c r="R2" s="3618" t="s">
        <v>3943</v>
      </c>
      <c r="S2" s="3621" t="s">
        <v>3945</v>
      </c>
      <c r="T2" s="3618" t="s">
        <v>3946</v>
      </c>
    </row>
    <row r="3" spans="1:20">
      <c r="A3" s="3618"/>
      <c r="B3" s="3619"/>
      <c r="C3" s="3618"/>
      <c r="D3" s="3618"/>
      <c r="E3" s="3620"/>
      <c r="F3" s="3618" t="s">
        <v>3947</v>
      </c>
      <c r="G3" s="3618"/>
      <c r="H3" s="3618"/>
      <c r="I3" s="3618"/>
      <c r="J3" s="3618"/>
      <c r="K3" s="3618"/>
      <c r="L3" s="3618"/>
      <c r="M3" s="3618" t="s">
        <v>3948</v>
      </c>
      <c r="N3" s="3618"/>
      <c r="O3" s="3618"/>
      <c r="P3" s="3468" t="s">
        <v>3947</v>
      </c>
      <c r="Q3" s="3468" t="s">
        <v>3948</v>
      </c>
      <c r="R3" s="3618"/>
      <c r="S3" s="3621"/>
      <c r="T3" s="3618"/>
    </row>
    <row r="4" spans="1:20">
      <c r="A4" s="3618"/>
      <c r="B4" s="3619"/>
      <c r="C4" s="3618"/>
      <c r="D4" s="3618"/>
      <c r="E4" s="3620"/>
      <c r="F4" s="3468" t="s">
        <v>3949</v>
      </c>
      <c r="G4" s="3468" t="s">
        <v>3950</v>
      </c>
      <c r="H4" s="3468" t="s">
        <v>3951</v>
      </c>
      <c r="I4" s="3468" t="s">
        <v>3952</v>
      </c>
      <c r="J4" s="3468" t="s">
        <v>3953</v>
      </c>
      <c r="K4" s="3468" t="s">
        <v>3954</v>
      </c>
      <c r="L4" s="3468" t="s">
        <v>3955</v>
      </c>
      <c r="M4" s="3468" t="s">
        <v>3952</v>
      </c>
      <c r="N4" s="3468" t="s">
        <v>3956</v>
      </c>
      <c r="O4" s="3618"/>
      <c r="P4" s="3468" t="s">
        <v>3957</v>
      </c>
      <c r="Q4" s="3468" t="s">
        <v>3957</v>
      </c>
      <c r="R4" s="3618"/>
      <c r="S4" s="3621"/>
      <c r="T4" s="3618"/>
    </row>
    <row r="5" spans="1:20" ht="72">
      <c r="A5" s="3468" t="s">
        <v>3958</v>
      </c>
      <c r="B5" s="3469" t="s">
        <v>3959</v>
      </c>
      <c r="C5" s="3468">
        <v>64770.31</v>
      </c>
      <c r="D5" s="3469" t="s">
        <v>3960</v>
      </c>
      <c r="E5" s="3463" t="s">
        <v>3961</v>
      </c>
      <c r="F5" s="3468">
        <v>158548.07999999999</v>
      </c>
      <c r="G5" s="3463">
        <v>0</v>
      </c>
      <c r="H5" s="3463">
        <v>0</v>
      </c>
      <c r="I5" s="3463">
        <v>0</v>
      </c>
      <c r="J5" s="3463">
        <v>0</v>
      </c>
      <c r="K5" s="3463">
        <v>0</v>
      </c>
      <c r="L5" s="3468">
        <v>937.37</v>
      </c>
      <c r="M5" s="3463">
        <v>0</v>
      </c>
      <c r="N5" s="3468">
        <v>62819.43</v>
      </c>
      <c r="O5" s="3468">
        <v>222304.87999999998</v>
      </c>
      <c r="P5" s="3468">
        <v>2437</v>
      </c>
      <c r="Q5" s="3468">
        <v>258.93</v>
      </c>
      <c r="R5" s="3470">
        <v>2695.93</v>
      </c>
      <c r="S5" s="3471">
        <v>225000.80999999997</v>
      </c>
      <c r="T5" s="3468">
        <v>1760</v>
      </c>
    </row>
    <row r="6" spans="1:20">
      <c r="D6" s="3462"/>
      <c r="E6" s="3462" t="s">
        <v>3964</v>
      </c>
      <c r="F6" s="3462" t="s">
        <v>3965</v>
      </c>
      <c r="G6" s="3462" t="s">
        <v>3962</v>
      </c>
      <c r="H6" s="3462"/>
      <c r="I6" s="3462" t="s">
        <v>3966</v>
      </c>
    </row>
    <row r="7" spans="1:20">
      <c r="D7" s="3462" t="s">
        <v>3963</v>
      </c>
      <c r="E7" s="3462">
        <f ca="1">'剩余法-待开发'!C10+'剩余法-待开发'!D10</f>
        <v>455118</v>
      </c>
      <c r="F7" s="3462">
        <f ca="1">'剩余法-待开发'!E10</f>
        <v>10543</v>
      </c>
      <c r="G7" s="3462">
        <f ca="1">'剩余法-待开发'!C6</f>
        <v>465661</v>
      </c>
      <c r="H7" s="3462"/>
      <c r="I7" s="3462">
        <f ca="1">结果表!O38</f>
        <v>255824</v>
      </c>
    </row>
    <row r="8" spans="1:20">
      <c r="D8" s="3462" t="s">
        <v>3967</v>
      </c>
      <c r="E8" s="3462">
        <f ca="1">ROUND(E7/G7*I7,0)</f>
        <v>250032</v>
      </c>
      <c r="F8" s="3462">
        <f ca="1">I7-E8</f>
        <v>5792</v>
      </c>
      <c r="G8" s="3462"/>
      <c r="H8" s="3462"/>
      <c r="I8" s="3462"/>
    </row>
    <row r="9" spans="1:20" ht="14.25" thickBot="1"/>
    <row r="10" spans="1:20" ht="23.25" thickBot="1">
      <c r="A10" s="3523" t="s">
        <v>2161</v>
      </c>
      <c r="B10" s="3524" t="s">
        <v>3968</v>
      </c>
      <c r="C10" s="3524" t="s">
        <v>1822</v>
      </c>
      <c r="D10" s="3524" t="s">
        <v>3969</v>
      </c>
      <c r="E10" s="3524" t="s">
        <v>3970</v>
      </c>
      <c r="F10" s="3524" t="s">
        <v>3971</v>
      </c>
      <c r="G10" s="3524" t="s">
        <v>3972</v>
      </c>
      <c r="H10" s="3524" t="s">
        <v>3973</v>
      </c>
      <c r="I10" s="3542" t="s">
        <v>4028</v>
      </c>
      <c r="J10" s="3542" t="s">
        <v>4032</v>
      </c>
      <c r="K10" s="3542" t="s">
        <v>4030</v>
      </c>
      <c r="L10" s="3529" t="s">
        <v>3988</v>
      </c>
      <c r="N10" s="3529" t="s">
        <v>4037</v>
      </c>
      <c r="O10" s="3529" t="s">
        <v>4031</v>
      </c>
    </row>
    <row r="11" spans="1:20" ht="81" thickBot="1">
      <c r="A11" s="3525">
        <v>1</v>
      </c>
      <c r="B11" s="3526" t="s">
        <v>3974</v>
      </c>
      <c r="C11" s="3526" t="s">
        <v>3975</v>
      </c>
      <c r="D11" s="3527" t="s">
        <v>3976</v>
      </c>
      <c r="E11" s="3527" t="s">
        <v>3977</v>
      </c>
      <c r="F11" s="3527">
        <v>2.5</v>
      </c>
      <c r="G11" s="3527">
        <v>64770.31</v>
      </c>
      <c r="H11" s="3527">
        <f ca="1">E8</f>
        <v>250032</v>
      </c>
      <c r="I11" s="3541">
        <v>161922.45000000001</v>
      </c>
      <c r="J11">
        <f ca="1">ROUND(H11/G11*10000,0)</f>
        <v>38603</v>
      </c>
      <c r="K11">
        <f ca="1">ROUND(H11/I11*10000,0)</f>
        <v>15441</v>
      </c>
      <c r="L11">
        <v>232108</v>
      </c>
      <c r="N11">
        <f>ROUNDUP(172795.2,0)</f>
        <v>172796</v>
      </c>
      <c r="O11">
        <f ca="1">H11-N11</f>
        <v>77236</v>
      </c>
    </row>
    <row r="12" spans="1:20" ht="81" thickBot="1">
      <c r="A12" s="3525">
        <v>2</v>
      </c>
      <c r="B12" s="3526" t="s">
        <v>3978</v>
      </c>
      <c r="C12" s="3526" t="s">
        <v>3979</v>
      </c>
      <c r="D12" s="3527" t="s">
        <v>3980</v>
      </c>
      <c r="E12" s="3527" t="s">
        <v>3981</v>
      </c>
      <c r="F12" s="3527">
        <v>4</v>
      </c>
      <c r="G12" s="3527">
        <v>51144.97</v>
      </c>
      <c r="H12" s="3527">
        <f>[3]拆分价值!$C$4</f>
        <v>128447</v>
      </c>
      <c r="I12" s="3541">
        <v>205051.6</v>
      </c>
      <c r="J12">
        <f>ROUND(H12/G12*10000,0)</f>
        <v>25114</v>
      </c>
      <c r="K12">
        <f>ROUND(H12/I12*10000,0)</f>
        <v>6264</v>
      </c>
      <c r="L12">
        <v>160575</v>
      </c>
      <c r="N12">
        <f>ROUNDUP(52978.1,0)</f>
        <v>52979</v>
      </c>
      <c r="O12">
        <f>H12-N12</f>
        <v>75468</v>
      </c>
    </row>
    <row r="13" spans="1:20" ht="81" thickBot="1">
      <c r="A13" s="3525">
        <v>3</v>
      </c>
      <c r="B13" s="3523" t="s">
        <v>3982</v>
      </c>
      <c r="C13" s="3524" t="s">
        <v>3983</v>
      </c>
      <c r="D13" s="3528" t="s">
        <v>3984</v>
      </c>
      <c r="E13" s="3527"/>
      <c r="F13" s="3527"/>
      <c r="G13" s="3527"/>
      <c r="H13" s="3527"/>
      <c r="M13" s="3156" t="s">
        <v>4029</v>
      </c>
    </row>
    <row r="14" spans="1:20">
      <c r="A14" s="3156" t="s">
        <v>3985</v>
      </c>
      <c r="G14">
        <f>G11+G12+G13</f>
        <v>115915.28</v>
      </c>
      <c r="H14">
        <f ca="1">H11+H12+H13</f>
        <v>378479</v>
      </c>
      <c r="I14">
        <f>I11+I12+I13</f>
        <v>366974.05000000005</v>
      </c>
      <c r="J14">
        <f ca="1">ROUND(H14/G14*10000,0)</f>
        <v>32651</v>
      </c>
      <c r="K14">
        <f ca="1">ROUND(H14/I14*10000,0)</f>
        <v>10314</v>
      </c>
      <c r="L14">
        <f>L11+L12+L13</f>
        <v>392683</v>
      </c>
      <c r="M14">
        <f ca="1">L14-H14</f>
        <v>14204</v>
      </c>
      <c r="N14">
        <f>N11+N12+N13</f>
        <v>225775</v>
      </c>
      <c r="O14">
        <f ca="1">O11+O12+O13</f>
        <v>152704</v>
      </c>
    </row>
  </sheetData>
  <mergeCells count="13">
    <mergeCell ref="F3:L3"/>
    <mergeCell ref="M3:N3"/>
    <mergeCell ref="A2:A4"/>
    <mergeCell ref="B2:B4"/>
    <mergeCell ref="C2:C4"/>
    <mergeCell ref="D2:D4"/>
    <mergeCell ref="E2:E4"/>
    <mergeCell ref="F2:N2"/>
    <mergeCell ref="O2:O4"/>
    <mergeCell ref="P2:Q2"/>
    <mergeCell ref="R2:R4"/>
    <mergeCell ref="S2:S4"/>
    <mergeCell ref="T2:T4"/>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4" sqref="B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2122</v>
      </c>
      <c r="BA2" s="2173" t="s">
        <v>2121</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面积指标!P5</f>
        <v>64770.31</v>
      </c>
      <c r="B3" s="22">
        <f>IF(C3="否",G5-AT5,G5)</f>
        <v>225000.80999999997</v>
      </c>
      <c r="C3" s="23" t="s">
        <v>3122</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225000.80999999997</v>
      </c>
      <c r="H5" s="27">
        <f t="shared" ref="H5:AT5" si="0">SUM(H13:H641)</f>
        <v>222304.87999999998</v>
      </c>
      <c r="I5" s="27">
        <f t="shared" si="0"/>
        <v>158548.07999999999</v>
      </c>
      <c r="J5" s="27">
        <f t="shared" si="0"/>
        <v>0</v>
      </c>
      <c r="K5" s="27">
        <f t="shared" si="0"/>
        <v>937.37</v>
      </c>
      <c r="L5" s="27">
        <f t="shared" si="0"/>
        <v>0</v>
      </c>
      <c r="M5" s="27">
        <f t="shared" si="0"/>
        <v>62819.43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2695.93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2437</v>
      </c>
      <c r="AM5" s="27">
        <f t="shared" si="0"/>
        <v>0</v>
      </c>
      <c r="AN5" s="27">
        <f t="shared" si="0"/>
        <v>258.93</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225000.80999999997</v>
      </c>
      <c r="BA5" s="29">
        <f t="shared" si="1"/>
        <v>222304.87999999998</v>
      </c>
      <c r="BB5" s="29">
        <f t="shared" si="1"/>
        <v>158548.07999999999</v>
      </c>
      <c r="BC5" s="29">
        <f t="shared" si="1"/>
        <v>937.37</v>
      </c>
      <c r="BD5" s="29">
        <f t="shared" si="1"/>
        <v>62819.43</v>
      </c>
      <c r="BE5" s="29">
        <f t="shared" si="1"/>
        <v>0</v>
      </c>
      <c r="BF5" s="29">
        <f t="shared" si="1"/>
        <v>0</v>
      </c>
      <c r="BG5" s="29">
        <f t="shared" si="1"/>
        <v>0</v>
      </c>
      <c r="BH5" s="29">
        <f t="shared" si="1"/>
        <v>0</v>
      </c>
      <c r="BI5" s="29">
        <f t="shared" si="1"/>
        <v>0</v>
      </c>
      <c r="BJ5" s="29">
        <f t="shared" si="1"/>
        <v>0</v>
      </c>
      <c r="BK5" s="29">
        <f t="shared" si="1"/>
        <v>0</v>
      </c>
      <c r="BL5" s="29">
        <f t="shared" si="1"/>
        <v>2695.93</v>
      </c>
      <c r="BM5" s="29">
        <f t="shared" si="1"/>
        <v>0</v>
      </c>
      <c r="BN5" s="29">
        <f t="shared" si="1"/>
        <v>0</v>
      </c>
      <c r="BO5" s="29">
        <f t="shared" si="1"/>
        <v>0</v>
      </c>
      <c r="BP5" s="29">
        <f t="shared" si="1"/>
        <v>0</v>
      </c>
      <c r="BQ5" s="29">
        <f t="shared" si="1"/>
        <v>2437</v>
      </c>
      <c r="BR5" s="29">
        <f t="shared" si="1"/>
        <v>258.93</v>
      </c>
      <c r="BS5" s="29">
        <f t="shared" si="1"/>
        <v>0</v>
      </c>
      <c r="BT5" s="30">
        <f t="shared" si="1"/>
        <v>0</v>
      </c>
    </row>
    <row r="6" spans="1:72" s="37" customFormat="1" ht="12.75">
      <c r="A6" s="26" t="s">
        <v>169</v>
      </c>
      <c r="B6" s="31"/>
      <c r="C6" s="31"/>
      <c r="D6" s="32"/>
      <c r="E6" s="27">
        <f>H6+AC6+AT6</f>
        <v>64770.31</v>
      </c>
      <c r="F6" s="27" t="s">
        <v>1</v>
      </c>
      <c r="G6" s="27" t="s">
        <v>2</v>
      </c>
      <c r="H6" s="33">
        <f>SUMIF(I$12:AB$12,"总值",I6:AB6)</f>
        <v>63994.239999999998</v>
      </c>
      <c r="I6" s="27">
        <f t="shared" ref="I6:AB6" si="2">ROUND($A$3*I5/$B$3,2)</f>
        <v>45640.76</v>
      </c>
      <c r="J6" s="27">
        <f t="shared" si="2"/>
        <v>0</v>
      </c>
      <c r="K6" s="27">
        <f t="shared" si="2"/>
        <v>269.83999999999997</v>
      </c>
      <c r="L6" s="27">
        <f t="shared" si="2"/>
        <v>0</v>
      </c>
      <c r="M6" s="27">
        <f t="shared" si="2"/>
        <v>18083.64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776.06999999999994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701.53</v>
      </c>
      <c r="AM6" s="27">
        <f t="shared" si="3"/>
        <v>0</v>
      </c>
      <c r="AN6" s="27">
        <f t="shared" si="3"/>
        <v>74.540000000000006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64770.31</v>
      </c>
      <c r="AZ6" s="27" t="s">
        <v>3</v>
      </c>
      <c r="BA6" s="27">
        <f>ROUND($AY$6*BA5/$AZ$5,2)</f>
        <v>63994.239999999998</v>
      </c>
      <c r="BB6" s="27">
        <f>ROUND($AY$6*BB5/$AZ$5,2)</f>
        <v>45640.76</v>
      </c>
      <c r="BC6" s="27">
        <f t="shared" ref="BC6:BH6" si="4">ROUND($AY$6*BC5/$AZ$5,2)</f>
        <v>269.83999999999997</v>
      </c>
      <c r="BD6" s="27">
        <f t="shared" si="4"/>
        <v>18083.64</v>
      </c>
      <c r="BE6" s="27">
        <f t="shared" si="4"/>
        <v>0</v>
      </c>
      <c r="BF6" s="27">
        <f t="shared" si="4"/>
        <v>0</v>
      </c>
      <c r="BG6" s="27">
        <f t="shared" si="4"/>
        <v>0</v>
      </c>
      <c r="BH6" s="27">
        <f t="shared" si="4"/>
        <v>0</v>
      </c>
      <c r="BI6" s="27">
        <f t="shared" ref="BI6:BT6" si="5">ROUND($AY$6*BI5/$AZ$5,2)</f>
        <v>0</v>
      </c>
      <c r="BJ6" s="27">
        <f t="shared" si="5"/>
        <v>0</v>
      </c>
      <c r="BK6" s="27">
        <f t="shared" si="5"/>
        <v>0</v>
      </c>
      <c r="BL6" s="27">
        <f t="shared" si="5"/>
        <v>776.07</v>
      </c>
      <c r="BM6" s="27">
        <f t="shared" si="5"/>
        <v>0</v>
      </c>
      <c r="BN6" s="27">
        <f t="shared" si="5"/>
        <v>0</v>
      </c>
      <c r="BO6" s="27">
        <f t="shared" si="5"/>
        <v>0</v>
      </c>
      <c r="BP6" s="27">
        <f t="shared" si="5"/>
        <v>0</v>
      </c>
      <c r="BQ6" s="27">
        <f t="shared" si="5"/>
        <v>701.53</v>
      </c>
      <c r="BR6" s="27">
        <f t="shared" si="5"/>
        <v>74.540000000000006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3123</v>
      </c>
      <c r="J9" s="51"/>
      <c r="K9" s="2652" t="s">
        <v>3123</v>
      </c>
      <c r="L9" s="51"/>
      <c r="M9" s="2652" t="s">
        <v>3360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902</v>
      </c>
      <c r="J10" s="51"/>
      <c r="K10" s="2654" t="s">
        <v>3120</v>
      </c>
      <c r="L10" s="51"/>
      <c r="M10" s="2654" t="s">
        <v>3121</v>
      </c>
      <c r="N10" s="51"/>
      <c r="O10" s="66"/>
      <c r="P10" s="51"/>
      <c r="Q10" s="66"/>
      <c r="R10" s="51"/>
      <c r="S10" s="66"/>
      <c r="T10" s="51"/>
      <c r="U10" s="66"/>
      <c r="V10" s="51"/>
      <c r="W10" s="66"/>
      <c r="X10" s="51"/>
      <c r="Y10" s="66"/>
      <c r="Z10" s="51"/>
      <c r="AA10" s="66"/>
      <c r="AB10" s="51"/>
      <c r="AC10" s="55"/>
      <c r="AD10" s="2147" t="s">
        <v>2106</v>
      </c>
      <c r="AE10" s="2169"/>
      <c r="AF10" s="2147" t="s">
        <v>2106</v>
      </c>
      <c r="AG10" s="2169"/>
      <c r="AH10" s="2147" t="s">
        <v>2107</v>
      </c>
      <c r="AI10" s="2169"/>
      <c r="AJ10" s="26" t="s">
        <v>2120</v>
      </c>
      <c r="AK10" s="2166"/>
      <c r="AL10" s="2147" t="s">
        <v>2108</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t="s">
        <v>3124</v>
      </c>
      <c r="J11" s="71"/>
      <c r="K11" s="2653" t="s">
        <v>3359</v>
      </c>
      <c r="L11" s="71"/>
      <c r="M11" s="70" t="s">
        <v>3121</v>
      </c>
      <c r="N11" s="71"/>
      <c r="O11" s="70"/>
      <c r="P11" s="71"/>
      <c r="Q11" s="70"/>
      <c r="R11" s="71"/>
      <c r="S11" s="70"/>
      <c r="T11" s="71"/>
      <c r="U11" s="70"/>
      <c r="V11" s="71"/>
      <c r="W11" s="70"/>
      <c r="X11" s="71"/>
      <c r="Y11" s="70"/>
      <c r="Z11" s="71"/>
      <c r="AA11" s="70"/>
      <c r="AB11" s="71"/>
      <c r="AC11" s="55"/>
      <c r="AD11" s="2167" t="s">
        <v>2119</v>
      </c>
      <c r="AE11" s="972"/>
      <c r="AF11" s="2167" t="s">
        <v>2119</v>
      </c>
      <c r="AG11" s="972"/>
      <c r="AH11" s="2167" t="s">
        <v>2118</v>
      </c>
      <c r="AI11" s="2168"/>
      <c r="AJ11" s="2167" t="s">
        <v>2118</v>
      </c>
      <c r="AK11" s="2166"/>
      <c r="AL11" s="970"/>
      <c r="AM11" s="972"/>
      <c r="AN11" s="970"/>
      <c r="AO11" s="972"/>
      <c r="AP11" s="1134"/>
      <c r="AQ11" s="1136"/>
      <c r="AR11" s="1134"/>
      <c r="AS11" s="1136"/>
      <c r="AT11" s="973"/>
      <c r="AU11" s="45"/>
      <c r="AV11" s="55"/>
      <c r="AW11" s="97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1478</v>
      </c>
      <c r="E13" s="27">
        <f t="shared" ref="E13:E20" si="6">IF($C$3="是",ROUND($A$3*G13/$B$3,2),ROUND($A$3*(G13-AT13)/$B$3,2))</f>
        <v>64770.31</v>
      </c>
      <c r="F13" s="81"/>
      <c r="G13" s="82">
        <f t="shared" ref="G13:G20" si="7">H13+AC13+AT13</f>
        <v>225000.80999999997</v>
      </c>
      <c r="H13" s="33">
        <f t="shared" ref="H13:H20" si="8">SUMIF(I$12:AB$12,"总值",I13:AB13)</f>
        <v>222304.87999999998</v>
      </c>
      <c r="I13" s="2651">
        <f>面积指标!S5</f>
        <v>158548.07999999999</v>
      </c>
      <c r="J13" s="2651"/>
      <c r="K13" s="2651">
        <f>面积指标!Y5</f>
        <v>937.37</v>
      </c>
      <c r="L13" s="2651"/>
      <c r="M13" s="2651">
        <f>面积指标!AA5</f>
        <v>62819.43</v>
      </c>
      <c r="N13" s="83"/>
      <c r="O13" s="83"/>
      <c r="P13" s="83"/>
      <c r="Q13" s="83"/>
      <c r="R13" s="83"/>
      <c r="S13" s="83"/>
      <c r="T13" s="83"/>
      <c r="U13" s="83"/>
      <c r="V13" s="83"/>
      <c r="W13" s="83"/>
      <c r="X13" s="83"/>
      <c r="Y13" s="83"/>
      <c r="Z13" s="83"/>
      <c r="AA13" s="83"/>
      <c r="AB13" s="83"/>
      <c r="AC13" s="27">
        <f t="shared" ref="AC13:AC20" si="9">SUMIF(AD$12:AS$12,"总值",AD13:AS13)</f>
        <v>2695.93</v>
      </c>
      <c r="AD13" s="2655"/>
      <c r="AE13" s="2655"/>
      <c r="AF13" s="2655"/>
      <c r="AG13" s="2655"/>
      <c r="AH13" s="2655"/>
      <c r="AI13" s="2655"/>
      <c r="AJ13" s="2655"/>
      <c r="AK13" s="2655"/>
      <c r="AL13" s="2655">
        <f>面积指标!AC5</f>
        <v>2437</v>
      </c>
      <c r="AM13" s="2655"/>
      <c r="AN13" s="2655">
        <f>面积指标!AD5</f>
        <v>258.93</v>
      </c>
      <c r="AO13" s="2655"/>
      <c r="AP13" s="2655"/>
      <c r="AQ13" s="2655"/>
      <c r="AR13" s="2655"/>
      <c r="AS13" s="2655"/>
      <c r="AT13" s="2656"/>
      <c r="AU13" s="2657"/>
      <c r="AV13" s="17">
        <f t="shared" ref="AV13:AX20" si="10">A13</f>
        <v>0</v>
      </c>
      <c r="AW13" s="17">
        <f t="shared" si="10"/>
        <v>0</v>
      </c>
      <c r="AX13" s="17">
        <f t="shared" si="10"/>
        <v>0</v>
      </c>
      <c r="AY13" s="966">
        <f t="shared" ref="AY13:AY20" si="11">ROUND($AY$6*AZ13/$AZ$5,2)</f>
        <v>64770.31</v>
      </c>
      <c r="AZ13" s="27">
        <f t="shared" ref="AZ13:AZ20" si="12">BA13+BL13</f>
        <v>225000.80999999997</v>
      </c>
      <c r="BA13" s="27">
        <f t="shared" ref="BA13:BA20" si="13">SUM(BB13:BK13)</f>
        <v>222304.87999999998</v>
      </c>
      <c r="BB13" s="27">
        <f t="shared" ref="BB13:BB20" si="14">IF($D13="是",I13-J13,0)</f>
        <v>158548.07999999999</v>
      </c>
      <c r="BC13" s="27">
        <f t="shared" ref="BC13:BC20" si="15">IF($D13="是",K13-L13,0)</f>
        <v>937.37</v>
      </c>
      <c r="BD13" s="27">
        <f t="shared" ref="BD13:BD20" si="16">IF($D13="是",M13-N13,0)</f>
        <v>62819.43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2695.93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2437</v>
      </c>
      <c r="BR13" s="27">
        <f t="shared" ref="BR13:BR20" si="30">IF($D13="是",AN13-AO13,0)</f>
        <v>258.93</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1" t="s">
        <v>0</v>
      </c>
      <c r="B1" s="3631" t="s">
        <v>4</v>
      </c>
      <c r="C1" s="3631" t="s">
        <v>5</v>
      </c>
      <c r="D1" s="3632" t="s">
        <v>40</v>
      </c>
      <c r="E1" s="3632" t="s">
        <v>41</v>
      </c>
      <c r="F1" s="3632"/>
      <c r="G1" s="3632"/>
      <c r="H1" s="3632"/>
      <c r="I1" s="3632"/>
      <c r="J1" s="3632"/>
      <c r="K1" s="3632"/>
      <c r="L1" s="3632"/>
      <c r="M1" s="3632"/>
    </row>
    <row r="2" spans="1:13" ht="27" customHeight="1">
      <c r="A2" s="3631"/>
      <c r="B2" s="3631"/>
      <c r="C2" s="3631"/>
      <c r="D2" s="3632"/>
      <c r="E2" s="3632" t="s">
        <v>24</v>
      </c>
      <c r="F2" s="3632" t="s">
        <v>25</v>
      </c>
      <c r="G2" s="3632"/>
      <c r="H2" s="3632"/>
      <c r="I2" s="3632"/>
      <c r="J2" s="3632" t="s">
        <v>26</v>
      </c>
      <c r="K2" s="3632"/>
      <c r="L2" s="3632"/>
      <c r="M2" s="3632"/>
    </row>
    <row r="3" spans="1:13" ht="28.5">
      <c r="A3" s="3631"/>
      <c r="B3" s="3631"/>
      <c r="C3" s="3631"/>
      <c r="D3" s="3632"/>
      <c r="E3" s="36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2" t="s">
        <v>42</v>
      </c>
      <c r="B9" s="3632"/>
      <c r="C9" s="36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Normal="70" zoomScaleSheetLayoutView="100" workbookViewId="0">
      <selection activeCell="E38" sqref="E38"/>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8" width="9.25" style="1852"/>
    <col min="19" max="19" width="11.75" style="1852" customWidth="1"/>
    <col min="20"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642" t="s">
        <v>203</v>
      </c>
      <c r="B2" s="3642"/>
      <c r="C2" s="3642"/>
      <c r="D2" s="1842" t="s">
        <v>204</v>
      </c>
      <c r="E2" s="106" t="s">
        <v>205</v>
      </c>
      <c r="F2" s="2990"/>
      <c r="G2" s="1144"/>
      <c r="H2" s="1145"/>
      <c r="I2" s="1146" t="s">
        <v>837</v>
      </c>
      <c r="J2" s="2990"/>
      <c r="K2" s="2990"/>
      <c r="L2" s="2990"/>
      <c r="M2" s="2990"/>
      <c r="N2" s="2990"/>
      <c r="O2" s="2990"/>
      <c r="P2" s="2990"/>
    </row>
    <row r="3" spans="1:16" ht="15.75" thickBot="1">
      <c r="A3" s="3643" t="s">
        <v>206</v>
      </c>
      <c r="B3" s="3643"/>
      <c r="C3" s="3643"/>
      <c r="D3" s="107">
        <f>'数据-基础表'!AY6</f>
        <v>64770.31</v>
      </c>
      <c r="E3" s="107">
        <f>'数据-基础表'!AZ5</f>
        <v>225000.80999999997</v>
      </c>
      <c r="F3" s="2990"/>
      <c r="G3" s="278" t="s">
        <v>838</v>
      </c>
      <c r="H3" s="273" t="s">
        <v>839</v>
      </c>
      <c r="I3" s="1843">
        <f>ROUND('数据-基础表'!B3/'数据-基础表'!A3,2)</f>
        <v>3.47</v>
      </c>
      <c r="J3" s="2990"/>
      <c r="K3" s="2990"/>
      <c r="L3" s="2990"/>
      <c r="M3" s="2990"/>
      <c r="N3" s="2990"/>
      <c r="O3" s="2990"/>
      <c r="P3" s="2990"/>
    </row>
    <row r="4" spans="1:16" ht="15">
      <c r="A4" s="3644"/>
      <c r="B4" s="3645"/>
      <c r="C4" s="3646"/>
      <c r="D4" s="108" t="s">
        <v>204</v>
      </c>
      <c r="E4" s="109" t="s">
        <v>205</v>
      </c>
      <c r="F4" s="2990"/>
      <c r="G4" s="1147"/>
      <c r="H4" s="273" t="s">
        <v>840</v>
      </c>
      <c r="I4" s="1843">
        <f>ROUND(SUMIF('数据-基础表'!I9:AS9,"地上",'数据-基础表'!I5:AS5)/'数据-基础表'!A3,2)</f>
        <v>2.5</v>
      </c>
      <c r="J4" s="2990"/>
      <c r="K4" s="2990"/>
      <c r="L4" s="2990"/>
      <c r="M4" s="2990"/>
      <c r="N4" s="2990"/>
      <c r="O4" s="2990"/>
      <c r="P4" s="2990"/>
    </row>
    <row r="5" spans="1:16">
      <c r="A5" s="110" t="s">
        <v>207</v>
      </c>
      <c r="B5" s="3647" t="s">
        <v>230</v>
      </c>
      <c r="C5" s="3647"/>
      <c r="D5" s="111">
        <f>ROUND($D$3*E5/$E$3,2)</f>
        <v>45640.76</v>
      </c>
      <c r="E5" s="112">
        <f>SUMIF('数据-基础表'!$11:$11,"住宅",'数据-基础表'!$5:$5)</f>
        <v>158548.07999999999</v>
      </c>
      <c r="F5" s="2990"/>
      <c r="G5" s="278" t="s">
        <v>841</v>
      </c>
      <c r="H5" s="273" t="s">
        <v>839</v>
      </c>
      <c r="I5" s="1843">
        <f>ROUND(E31/D31,2)</f>
        <v>3.47</v>
      </c>
      <c r="J5" s="2990"/>
      <c r="K5" s="2990"/>
      <c r="L5" s="2990"/>
      <c r="M5" s="2990"/>
      <c r="N5" s="2990"/>
      <c r="O5" s="2990"/>
      <c r="P5" s="2990"/>
    </row>
    <row r="6" spans="1:16" ht="15" thickBot="1">
      <c r="A6" s="113"/>
      <c r="B6" s="3647" t="s">
        <v>208</v>
      </c>
      <c r="C6" s="3647"/>
      <c r="D6" s="111">
        <f>ROUND($D$3*E6/$E$3,2)</f>
        <v>19129.55</v>
      </c>
      <c r="E6" s="112">
        <f>E3-E5</f>
        <v>66452.729999999981</v>
      </c>
      <c r="F6" s="2990"/>
      <c r="G6" s="1147"/>
      <c r="H6" s="273" t="s">
        <v>840</v>
      </c>
      <c r="I6" s="1843">
        <f>ROUND(F31/D31,2)</f>
        <v>2.5</v>
      </c>
      <c r="J6" s="2990"/>
      <c r="K6" s="2990"/>
      <c r="L6" s="2990"/>
      <c r="M6" s="2990"/>
      <c r="N6" s="2990"/>
      <c r="O6" s="2990"/>
      <c r="P6" s="2990"/>
    </row>
    <row r="7" spans="1:16" ht="15">
      <c r="A7" s="3639"/>
      <c r="B7" s="3640"/>
      <c r="C7" s="3641"/>
      <c r="D7" s="108" t="s">
        <v>204</v>
      </c>
      <c r="E7" s="114" t="s">
        <v>231</v>
      </c>
      <c r="F7" s="2990"/>
      <c r="G7" s="1102" t="s">
        <v>1445</v>
      </c>
      <c r="H7" s="1103"/>
      <c r="I7" s="1714"/>
      <c r="J7" s="2990"/>
      <c r="K7" s="2990"/>
      <c r="L7" s="2990"/>
      <c r="M7" s="2990"/>
      <c r="N7" s="2990"/>
      <c r="O7" s="2990"/>
      <c r="P7" s="2990"/>
    </row>
    <row r="8" spans="1:16">
      <c r="A8" s="110" t="s">
        <v>209</v>
      </c>
      <c r="B8" s="115" t="s">
        <v>210</v>
      </c>
      <c r="C8" s="111" t="s">
        <v>211</v>
      </c>
      <c r="D8" s="111">
        <f t="shared" ref="D8:D15" si="0">ROUND($D$3*E8/$E$3,2)</f>
        <v>45910.6</v>
      </c>
      <c r="E8" s="116">
        <f>SUMIF('数据-基础表'!BB10:BK10,"地上",'数据-基础表'!BB5:BK5)</f>
        <v>159485.44999999998</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2116</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2123</v>
      </c>
      <c r="D13" s="111">
        <f t="shared" si="0"/>
        <v>18083.64</v>
      </c>
      <c r="E13" s="116">
        <f>SUMPRODUCT(('数据-基础表'!BB10:BK10="地下")*('数据-基础表'!BB11:BK11="车库")*('数据-基础表'!BB5:BK5))</f>
        <v>62819.43</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63994.239999999998</v>
      </c>
      <c r="E16" s="120">
        <f>SUM(E8:E15)</f>
        <v>222304.87999999998</v>
      </c>
      <c r="F16" s="2990"/>
      <c r="G16" s="2991"/>
      <c r="H16" s="938" t="s">
        <v>219</v>
      </c>
      <c r="I16" s="939"/>
      <c r="J16" s="1851"/>
      <c r="K16" s="3633" t="s">
        <v>2283</v>
      </c>
      <c r="L16" s="3634"/>
      <c r="M16" s="3634"/>
      <c r="N16" s="3634"/>
      <c r="O16" s="3634"/>
      <c r="P16" s="3635"/>
    </row>
    <row r="17" spans="1:19" ht="15">
      <c r="A17" s="121" t="s">
        <v>216</v>
      </c>
      <c r="B17" s="122" t="s">
        <v>217</v>
      </c>
      <c r="C17" s="2131" t="s">
        <v>2102</v>
      </c>
      <c r="D17" s="108" t="s">
        <v>204</v>
      </c>
      <c r="E17" s="124" t="s">
        <v>205</v>
      </c>
      <c r="F17" s="125"/>
      <c r="G17" s="1274"/>
      <c r="H17" s="940" t="s">
        <v>218</v>
      </c>
      <c r="I17" s="941" t="s">
        <v>4015</v>
      </c>
      <c r="J17" s="1851"/>
      <c r="K17" s="3636" t="s">
        <v>2284</v>
      </c>
      <c r="L17" s="3637"/>
      <c r="M17" s="3638"/>
      <c r="N17" s="3636" t="s">
        <v>2285</v>
      </c>
      <c r="O17" s="3637"/>
      <c r="P17" s="3638"/>
      <c r="R17" s="2132" t="s">
        <v>2101</v>
      </c>
      <c r="S17" s="142"/>
    </row>
    <row r="18" spans="1:19" ht="15">
      <c r="A18" s="117"/>
      <c r="B18" s="128"/>
      <c r="C18" s="129"/>
      <c r="D18" s="2405"/>
      <c r="E18" s="130" t="s">
        <v>220</v>
      </c>
      <c r="F18" s="131" t="s">
        <v>221</v>
      </c>
      <c r="G18" s="1275" t="s">
        <v>222</v>
      </c>
      <c r="H18" s="942" t="s">
        <v>223</v>
      </c>
      <c r="I18" s="943" t="s">
        <v>224</v>
      </c>
      <c r="J18" s="1851"/>
      <c r="K18" s="2370" t="s">
        <v>2286</v>
      </c>
      <c r="L18" s="2371" t="s">
        <v>2287</v>
      </c>
      <c r="M18" s="2372" t="s">
        <v>2288</v>
      </c>
      <c r="N18" s="2370" t="s">
        <v>2286</v>
      </c>
      <c r="O18" s="2371" t="s">
        <v>2287</v>
      </c>
      <c r="P18" s="2372" t="s">
        <v>2288</v>
      </c>
      <c r="R18" s="2133" t="s">
        <v>2099</v>
      </c>
      <c r="S18" s="2133" t="s">
        <v>2100</v>
      </c>
    </row>
    <row r="19" spans="1:19">
      <c r="A19" s="133"/>
      <c r="B19" s="115" t="s">
        <v>225</v>
      </c>
      <c r="C19" s="2658" t="s">
        <v>3361</v>
      </c>
      <c r="D19" s="3532">
        <f t="shared" ref="D19:D26" si="1">ROUND($D$3*E19/$E$3,2)</f>
        <v>45640.76</v>
      </c>
      <c r="E19" s="134">
        <f t="shared" ref="E19:E26" si="2">SUM(F19:G19)</f>
        <v>158548.07999999999</v>
      </c>
      <c r="F19" s="2992">
        <f>面积指标!S5</f>
        <v>158548.07999999999</v>
      </c>
      <c r="G19" s="2993"/>
      <c r="H19" s="3533">
        <f>ROUND($D$3*I19/$E$3,2)</f>
        <v>697.41</v>
      </c>
      <c r="I19" s="3534">
        <f>IF($I$17="自定义",P19,M19)</f>
        <v>2422.6799999999998</v>
      </c>
      <c r="J19" s="1851"/>
      <c r="K19" s="3535">
        <f t="shared" ref="K19:K26" si="3">ROUND(E$28*E19/E$27,2)</f>
        <v>1922.74</v>
      </c>
      <c r="L19" s="3531">
        <f t="shared" ref="L19:L26" si="4">ROUND(IF(COUNTIF(C19,"*住宅*")&gt;0,E$29*E19/E$32,0),2)</f>
        <v>0</v>
      </c>
      <c r="M19" s="3536">
        <f>K19+L19</f>
        <v>1922.74</v>
      </c>
      <c r="N19" s="2375">
        <f>N36</f>
        <v>2422.6799999999998</v>
      </c>
      <c r="O19" s="2376"/>
      <c r="P19" s="2377">
        <f>N19+O19</f>
        <v>2422.6799999999998</v>
      </c>
      <c r="R19" s="3531">
        <f>P36</f>
        <v>64389.63</v>
      </c>
      <c r="S19" s="3537">
        <f>E19+I19</f>
        <v>160970.75999999998</v>
      </c>
    </row>
    <row r="20" spans="1:19">
      <c r="A20" s="137"/>
      <c r="B20" s="115" t="s">
        <v>226</v>
      </c>
      <c r="C20" s="2658" t="s">
        <v>3362</v>
      </c>
      <c r="D20" s="3532">
        <f t="shared" si="1"/>
        <v>269.83999999999997</v>
      </c>
      <c r="E20" s="134">
        <f t="shared" si="2"/>
        <v>937.37</v>
      </c>
      <c r="F20" s="2992">
        <f>面积指标!Y5</f>
        <v>937.37</v>
      </c>
      <c r="G20" s="2993"/>
      <c r="H20" s="3533">
        <f t="shared" ref="H20:H26" si="5">ROUND($D$3*I20/$E$3,2)</f>
        <v>4.12</v>
      </c>
      <c r="I20" s="3534">
        <f t="shared" ref="I20:I26" si="6">IF($I$17="自定义",P20,M20)</f>
        <v>14.320000000000164</v>
      </c>
      <c r="J20" s="1851"/>
      <c r="K20" s="3535">
        <f t="shared" si="3"/>
        <v>11.37</v>
      </c>
      <c r="L20" s="3531">
        <f t="shared" si="4"/>
        <v>0</v>
      </c>
      <c r="M20" s="3536">
        <f t="shared" ref="M20:M26" si="7">K20+L20</f>
        <v>11.37</v>
      </c>
      <c r="N20" s="2375">
        <f>N37</f>
        <v>14.320000000000164</v>
      </c>
      <c r="O20" s="2376"/>
      <c r="P20" s="2377">
        <f t="shared" ref="P20:P26" si="8">N20+O20</f>
        <v>14.320000000000164</v>
      </c>
      <c r="R20" s="3531">
        <f>P37</f>
        <v>380.68000000000029</v>
      </c>
      <c r="S20" s="3537">
        <f t="shared" ref="R20:S26" si="9">E20+I20</f>
        <v>951.69000000000017</v>
      </c>
    </row>
    <row r="21" spans="1:19">
      <c r="A21" s="137"/>
      <c r="B21" s="115" t="s">
        <v>226</v>
      </c>
      <c r="C21" s="2658" t="s">
        <v>3363</v>
      </c>
      <c r="D21" s="3532">
        <f t="shared" si="1"/>
        <v>18083.64</v>
      </c>
      <c r="E21" s="134">
        <f t="shared" si="2"/>
        <v>62819.43</v>
      </c>
      <c r="F21" s="2992"/>
      <c r="G21" s="2993">
        <f>面积指标!AA5</f>
        <v>62819.43</v>
      </c>
      <c r="H21" s="3533">
        <f t="shared" si="5"/>
        <v>74.540000000000006</v>
      </c>
      <c r="I21" s="3534">
        <f t="shared" si="6"/>
        <v>258.93</v>
      </c>
      <c r="J21" s="1851"/>
      <c r="K21" s="3535">
        <f t="shared" si="3"/>
        <v>761.82</v>
      </c>
      <c r="L21" s="3531">
        <f t="shared" si="4"/>
        <v>0</v>
      </c>
      <c r="M21" s="3536">
        <f t="shared" si="7"/>
        <v>761.82</v>
      </c>
      <c r="N21" s="2375">
        <f>G28</f>
        <v>258.93</v>
      </c>
      <c r="O21" s="2376"/>
      <c r="P21" s="2377">
        <f t="shared" si="8"/>
        <v>258.93</v>
      </c>
      <c r="R21" s="3531">
        <f>ROUND(S21/S36*S35,2)</f>
        <v>10274.26</v>
      </c>
      <c r="S21" s="3537">
        <f>E21+I21</f>
        <v>63078.36</v>
      </c>
    </row>
    <row r="22" spans="1:19">
      <c r="A22" s="137"/>
      <c r="B22" s="115" t="s">
        <v>226</v>
      </c>
      <c r="C22" s="1273"/>
      <c r="D22" s="111">
        <f t="shared" si="1"/>
        <v>0</v>
      </c>
      <c r="E22" s="134">
        <f t="shared" si="2"/>
        <v>0</v>
      </c>
      <c r="F22" s="2994"/>
      <c r="G22" s="2995"/>
      <c r="H22" s="944">
        <f t="shared" si="5"/>
        <v>0</v>
      </c>
      <c r="I22" s="116">
        <f t="shared" si="6"/>
        <v>0</v>
      </c>
      <c r="J22" s="1851"/>
      <c r="K22" s="2373">
        <f t="shared" si="3"/>
        <v>0</v>
      </c>
      <c r="L22" s="273">
        <f t="shared" si="4"/>
        <v>0</v>
      </c>
      <c r="M22" s="2374">
        <f t="shared" si="7"/>
        <v>0</v>
      </c>
      <c r="N22" s="2375"/>
      <c r="O22" s="2376"/>
      <c r="P22" s="2377">
        <f t="shared" si="8"/>
        <v>0</v>
      </c>
      <c r="R22" s="273">
        <f t="shared" si="9"/>
        <v>0</v>
      </c>
      <c r="S22" s="2134">
        <f t="shared" si="9"/>
        <v>0</v>
      </c>
    </row>
    <row r="23" spans="1:19">
      <c r="A23" s="137"/>
      <c r="B23" s="115" t="s">
        <v>226</v>
      </c>
      <c r="C23" s="138"/>
      <c r="D23" s="111">
        <f>ROUND($D$3*E23/$E$3,2)</f>
        <v>0</v>
      </c>
      <c r="E23" s="134">
        <f>SUM(F23:G23)</f>
        <v>0</v>
      </c>
      <c r="F23" s="2994"/>
      <c r="G23" s="2995"/>
      <c r="H23" s="944">
        <f>ROUND($D$3*I23/$E$3,2)</f>
        <v>0</v>
      </c>
      <c r="I23" s="116">
        <f t="shared" si="6"/>
        <v>0</v>
      </c>
      <c r="J23" s="1851"/>
      <c r="K23" s="2373">
        <f t="shared" si="3"/>
        <v>0</v>
      </c>
      <c r="L23" s="273">
        <f t="shared" si="4"/>
        <v>0</v>
      </c>
      <c r="M23" s="2374">
        <f t="shared" si="7"/>
        <v>0</v>
      </c>
      <c r="N23" s="2375"/>
      <c r="O23" s="2376"/>
      <c r="P23" s="2377">
        <f t="shared" si="8"/>
        <v>0</v>
      </c>
      <c r="R23" s="273">
        <f t="shared" si="9"/>
        <v>0</v>
      </c>
      <c r="S23" s="2134">
        <f t="shared" si="9"/>
        <v>0</v>
      </c>
    </row>
    <row r="24" spans="1:19">
      <c r="A24" s="137"/>
      <c r="B24" s="115" t="s">
        <v>226</v>
      </c>
      <c r="C24" s="138"/>
      <c r="D24" s="111">
        <f>ROUND($D$3*E24/$E$3,2)</f>
        <v>0</v>
      </c>
      <c r="E24" s="134">
        <f>SUM(F24:G24)</f>
        <v>0</v>
      </c>
      <c r="F24" s="2994"/>
      <c r="G24" s="2995"/>
      <c r="H24" s="944">
        <f>ROUND($D$3*I24/$E$3,2)</f>
        <v>0</v>
      </c>
      <c r="I24" s="116">
        <f t="shared" si="6"/>
        <v>0</v>
      </c>
      <c r="J24" s="1851"/>
      <c r="K24" s="2373">
        <f t="shared" si="3"/>
        <v>0</v>
      </c>
      <c r="L24" s="273">
        <f t="shared" si="4"/>
        <v>0</v>
      </c>
      <c r="M24" s="2374">
        <f t="shared" si="7"/>
        <v>0</v>
      </c>
      <c r="N24" s="2375"/>
      <c r="O24" s="2376"/>
      <c r="P24" s="2377">
        <f t="shared" si="8"/>
        <v>0</v>
      </c>
      <c r="R24" s="273">
        <f t="shared" si="9"/>
        <v>0</v>
      </c>
      <c r="S24" s="2134">
        <f t="shared" si="9"/>
        <v>0</v>
      </c>
    </row>
    <row r="25" spans="1:19">
      <c r="A25" s="137"/>
      <c r="B25" s="115" t="s">
        <v>226</v>
      </c>
      <c r="C25" s="138"/>
      <c r="D25" s="111">
        <f t="shared" si="1"/>
        <v>0</v>
      </c>
      <c r="E25" s="134">
        <f t="shared" si="2"/>
        <v>0</v>
      </c>
      <c r="F25" s="2994"/>
      <c r="G25" s="2995"/>
      <c r="H25" s="110">
        <f t="shared" si="5"/>
        <v>0</v>
      </c>
      <c r="I25" s="116">
        <f t="shared" si="6"/>
        <v>0</v>
      </c>
      <c r="J25" s="1851"/>
      <c r="K25" s="2373">
        <f t="shared" si="3"/>
        <v>0</v>
      </c>
      <c r="L25" s="273">
        <f t="shared" si="4"/>
        <v>0</v>
      </c>
      <c r="M25" s="2374">
        <f t="shared" si="7"/>
        <v>0</v>
      </c>
      <c r="N25" s="2375"/>
      <c r="O25" s="2376"/>
      <c r="P25" s="2377">
        <f t="shared" si="8"/>
        <v>0</v>
      </c>
      <c r="R25" s="273">
        <f t="shared" si="9"/>
        <v>0</v>
      </c>
      <c r="S25" s="2134">
        <f t="shared" si="9"/>
        <v>0</v>
      </c>
    </row>
    <row r="26" spans="1:19">
      <c r="A26" s="137"/>
      <c r="B26" s="115" t="s">
        <v>226</v>
      </c>
      <c r="C26" s="140"/>
      <c r="D26" s="111">
        <f t="shared" si="1"/>
        <v>0</v>
      </c>
      <c r="E26" s="134">
        <f t="shared" si="2"/>
        <v>0</v>
      </c>
      <c r="F26" s="2994"/>
      <c r="G26" s="2995"/>
      <c r="H26" s="110">
        <f t="shared" si="5"/>
        <v>0</v>
      </c>
      <c r="I26" s="116">
        <f t="shared" si="6"/>
        <v>0</v>
      </c>
      <c r="J26" s="1851"/>
      <c r="K26" s="2378">
        <f t="shared" si="3"/>
        <v>0</v>
      </c>
      <c r="L26" s="278">
        <f t="shared" si="4"/>
        <v>0</v>
      </c>
      <c r="M26" s="144">
        <f t="shared" si="7"/>
        <v>0</v>
      </c>
      <c r="N26" s="2379"/>
      <c r="O26" s="2380"/>
      <c r="P26" s="2381">
        <f t="shared" si="8"/>
        <v>0</v>
      </c>
      <c r="R26" s="273">
        <f t="shared" si="9"/>
        <v>0</v>
      </c>
      <c r="S26" s="2134">
        <f t="shared" si="9"/>
        <v>0</v>
      </c>
    </row>
    <row r="27" spans="1:19" ht="43.5" thickBot="1">
      <c r="A27" s="137"/>
      <c r="B27" s="111"/>
      <c r="C27" s="127" t="s">
        <v>215</v>
      </c>
      <c r="D27" s="134">
        <f>SUM(D19:D26)</f>
        <v>63994.239999999998</v>
      </c>
      <c r="E27" s="141">
        <f>IF(SUM(E19:E26)='数据-基础表'!BA5,SUM(E19:E26),IF(F27="地上面积有误","面积有误","地下面积有误"))</f>
        <v>222304.87999999998</v>
      </c>
      <c r="F27" s="134">
        <f>IF(SUM(F19:F26)=E8,SUM(F19:F26),"地上面积有误")</f>
        <v>159485.44999999998</v>
      </c>
      <c r="G27" s="112">
        <f>SUM(G19:G26)</f>
        <v>62819.43</v>
      </c>
      <c r="H27" s="945">
        <f>SUM(H19:H26)</f>
        <v>776.06999999999994</v>
      </c>
      <c r="I27" s="946">
        <f>SUM(I19:I26)</f>
        <v>2695.93</v>
      </c>
      <c r="J27" s="1851"/>
      <c r="K27" s="2382">
        <f>SUM(K19:K26)</f>
        <v>2695.93</v>
      </c>
      <c r="L27" s="2383">
        <f>SUM(L19:L26)</f>
        <v>0</v>
      </c>
      <c r="M27" s="2384">
        <f>SUM(M19:M26)</f>
        <v>2695.93</v>
      </c>
      <c r="N27" s="2382">
        <f t="shared" ref="N27:O27" si="10">SUM(N19:N26)</f>
        <v>2695.93</v>
      </c>
      <c r="O27" s="2383">
        <f t="shared" si="10"/>
        <v>0</v>
      </c>
      <c r="P27" s="2385">
        <f>SUM(P19:P26)</f>
        <v>2695.93</v>
      </c>
      <c r="R27" s="2138" t="str">
        <f>IF(SUM(R19:R26)=$D$3,SUM(R19:R26),SUM(R19:R26)&amp;"误差"&amp;ROUND(SUM(R19:R26)-$D$3,2))</f>
        <v>75044.57误差10274.26</v>
      </c>
      <c r="S27" s="273">
        <f>IF(SUM(S19:S26)=$E$3,SUM(S19:S26),SUM(S19:S26)&amp;"误差"&amp;ROUND(SUM(S19:S26)-E3,2))</f>
        <v>225000.81</v>
      </c>
    </row>
    <row r="28" spans="1:19">
      <c r="A28" s="137"/>
      <c r="B28" s="115" t="s">
        <v>227</v>
      </c>
      <c r="C28" s="135" t="s">
        <v>228</v>
      </c>
      <c r="D28" s="111">
        <f>ROUND($D$3*E28/$E$3,2)</f>
        <v>776.07</v>
      </c>
      <c r="E28" s="134">
        <f>SUM(F28:G28)</f>
        <v>2695.93</v>
      </c>
      <c r="F28" s="142">
        <f>'数据-基础表'!BQ5+'数据-基础表'!BS5</f>
        <v>2437</v>
      </c>
      <c r="G28" s="143">
        <f>'数据-基础表'!BR5+'数据-基础表'!BT5</f>
        <v>258.93</v>
      </c>
      <c r="H28" s="2990"/>
      <c r="I28" s="2990"/>
      <c r="J28" s="2990"/>
      <c r="K28" s="2990"/>
      <c r="L28" s="2990"/>
      <c r="M28" s="2990"/>
      <c r="N28" s="2990"/>
      <c r="O28" s="2990"/>
      <c r="P28" s="2990"/>
    </row>
    <row r="29" spans="1:19">
      <c r="A29" s="137"/>
      <c r="B29" s="115" t="s">
        <v>227</v>
      </c>
      <c r="C29" s="2146" t="s">
        <v>2109</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776.07</v>
      </c>
      <c r="E30" s="134">
        <f>SUM(E28:E29)</f>
        <v>2695.93</v>
      </c>
      <c r="F30" s="134">
        <f>SUM(F28:F29)</f>
        <v>2437</v>
      </c>
      <c r="G30" s="112">
        <f>SUM(G28:G29)</f>
        <v>258.93</v>
      </c>
      <c r="H30" s="2990"/>
      <c r="I30" s="2990"/>
      <c r="J30" s="2990"/>
      <c r="K30" s="2990"/>
      <c r="L30" s="2990"/>
      <c r="M30" s="2990"/>
      <c r="N30" s="2990"/>
      <c r="O30" s="2990"/>
      <c r="P30" s="2990"/>
    </row>
    <row r="31" spans="1:19" ht="32.25" customHeight="1" thickBot="1">
      <c r="A31" s="1276"/>
      <c r="B31" s="1277" t="s">
        <v>229</v>
      </c>
      <c r="C31" s="2163" t="s">
        <v>2111</v>
      </c>
      <c r="D31" s="1278">
        <f>D27+D30</f>
        <v>64770.31</v>
      </c>
      <c r="E31" s="1278">
        <f>E27+E30</f>
        <v>225000.80999999997</v>
      </c>
      <c r="F31" s="1279">
        <f>F27+F30</f>
        <v>161922.44999999998</v>
      </c>
      <c r="G31" s="1280">
        <f>G27+G30</f>
        <v>63078.36</v>
      </c>
      <c r="H31" s="2990"/>
      <c r="I31" s="2990"/>
      <c r="J31" s="2990"/>
      <c r="K31" s="2990"/>
      <c r="L31" s="2990"/>
      <c r="M31" s="2990"/>
      <c r="N31" s="2990"/>
      <c r="O31" s="2990"/>
      <c r="P31" s="2990"/>
    </row>
    <row r="32" spans="1:19">
      <c r="A32" s="1851"/>
      <c r="B32" s="2175" t="s">
        <v>2110</v>
      </c>
      <c r="C32" s="2410"/>
      <c r="D32" s="1147"/>
      <c r="E32" s="1147">
        <f>SUMIF(C19:C26,"*住宅*",E19:E26)</f>
        <v>158548.07999999999</v>
      </c>
      <c r="F32" s="1147"/>
      <c r="G32" s="1147"/>
      <c r="H32" s="2990"/>
      <c r="I32" s="2990"/>
      <c r="J32" s="2990"/>
      <c r="K32" s="2990"/>
      <c r="L32" s="2990"/>
      <c r="M32" s="2990"/>
      <c r="N32" s="2990"/>
      <c r="O32" s="2990"/>
      <c r="P32" s="2990"/>
    </row>
    <row r="33" spans="4:19">
      <c r="D33" s="1853"/>
    </row>
    <row r="35" spans="4:19">
      <c r="L35" s="3539" t="s">
        <v>4016</v>
      </c>
      <c r="M35" s="3539" t="s">
        <v>4017</v>
      </c>
      <c r="N35" s="3539" t="s">
        <v>4021</v>
      </c>
      <c r="O35" s="3539" t="s">
        <v>4022</v>
      </c>
      <c r="P35" s="3539" t="s">
        <v>4023</v>
      </c>
      <c r="R35" s="3538" t="s">
        <v>4026</v>
      </c>
      <c r="S35" s="1852">
        <f>面积指标!C124</f>
        <v>26460.97</v>
      </c>
    </row>
    <row r="36" spans="4:19">
      <c r="L36" s="3539" t="s">
        <v>4018</v>
      </c>
      <c r="M36" s="3540">
        <f>F19</f>
        <v>158548.07999999999</v>
      </c>
      <c r="N36" s="3540">
        <f>ROUND(M36/F27*M38,2)</f>
        <v>2422.6799999999998</v>
      </c>
      <c r="O36" s="3540">
        <f>M36+N36</f>
        <v>160970.75999999998</v>
      </c>
      <c r="P36" s="3540">
        <f>ROUND(O36/O39*D3,2)</f>
        <v>64389.63</v>
      </c>
      <c r="R36" s="3538" t="s">
        <v>4025</v>
      </c>
      <c r="S36" s="1852">
        <f>面积指标!C125</f>
        <v>162455.93000000002</v>
      </c>
    </row>
    <row r="37" spans="4:19">
      <c r="L37" s="3539" t="s">
        <v>4019</v>
      </c>
      <c r="M37" s="3540">
        <f>F20</f>
        <v>937.37</v>
      </c>
      <c r="N37" s="3540">
        <f>M38-N36</f>
        <v>14.320000000000164</v>
      </c>
      <c r="O37" s="3540">
        <f>M37+N37</f>
        <v>951.69000000000017</v>
      </c>
      <c r="P37" s="3540">
        <f>D3-P36</f>
        <v>380.68000000000029</v>
      </c>
    </row>
    <row r="38" spans="4:19">
      <c r="L38" s="3539" t="s">
        <v>4020</v>
      </c>
      <c r="M38" s="3540">
        <f>F28</f>
        <v>2437</v>
      </c>
      <c r="N38" s="3540"/>
      <c r="O38" s="3540"/>
      <c r="P38" s="3540"/>
    </row>
    <row r="39" spans="4:19">
      <c r="L39" s="3538" t="s">
        <v>4024</v>
      </c>
      <c r="M39" s="3540">
        <f>SUM(M36:M38)</f>
        <v>161922.44999999998</v>
      </c>
      <c r="N39" s="3540">
        <f t="shared" ref="N39:P39" si="11">SUM(N36:N38)</f>
        <v>2437</v>
      </c>
      <c r="O39" s="3540">
        <f t="shared" si="11"/>
        <v>161922.44999999998</v>
      </c>
      <c r="P39" s="3540">
        <f t="shared" si="11"/>
        <v>64770.31</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K29" sqref="K29"/>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20.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44747</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自定义</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54">
      <c r="A5" s="2137" t="s">
        <v>2113</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3365</v>
      </c>
      <c r="O5" s="161" t="s">
        <v>246</v>
      </c>
      <c r="P5" s="163" t="s">
        <v>247</v>
      </c>
      <c r="Q5" s="164" t="s">
        <v>248</v>
      </c>
      <c r="R5" s="165" t="s">
        <v>249</v>
      </c>
      <c r="S5" s="2386" t="s">
        <v>2289</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2112</v>
      </c>
      <c r="AI5" s="169" t="s">
        <v>2082</v>
      </c>
      <c r="AJ5" s="169" t="s">
        <v>258</v>
      </c>
      <c r="AK5" s="157" t="s">
        <v>259</v>
      </c>
      <c r="AL5" s="157" t="s">
        <v>260</v>
      </c>
      <c r="AM5" s="170" t="s">
        <v>261</v>
      </c>
      <c r="AN5" s="2199" t="s">
        <v>2159</v>
      </c>
      <c r="AO5" s="3011"/>
      <c r="AP5" s="2996" t="s">
        <v>2703</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住宅</v>
      </c>
      <c r="B6" s="2170" t="str">
        <f>IF(A6=0,"","经营性")</f>
        <v>经营性</v>
      </c>
      <c r="C6" s="171" t="s">
        <v>902</v>
      </c>
      <c r="D6" s="2141">
        <f>SUMIF(项目基本情况!D$15:I$15,C6,项目基本情况!D$18:I$18)</f>
        <v>70</v>
      </c>
      <c r="E6" s="2142">
        <f>IF(B6="","",SUMIF(项目基本情况!D$15:I$15,C6,项目基本情况!D$17:I$17))</f>
        <v>69689</v>
      </c>
      <c r="F6" s="172">
        <f>SUMIF(项目基本情况!D$15:I$15,C6,项目基本情况!D$19:I$19)</f>
        <v>68.33</v>
      </c>
      <c r="G6" s="173">
        <f>IF(ISERROR(ROUND(POWER(1+H6,D6-F6)*(POWER(1+H6,F6)-1)/(POWER(1+H6,D6)-1),3)),0,ROUND(POWER(1+H6,D6-F6)*(POWER(1+H6,F6)-1)/(POWER(1+H6,D6)-1),3))</f>
        <v>0.995</v>
      </c>
      <c r="H6" s="2659">
        <v>0.04</v>
      </c>
      <c r="I6" s="2659">
        <v>4.4999999999999998E-2</v>
      </c>
      <c r="J6" s="174">
        <v>0.08</v>
      </c>
      <c r="K6" s="177">
        <f>SUMIF('数据-汇总表'!C$19:C$33,'数据-取费表'!A6,'数据-汇总表'!E$19:E$33)</f>
        <v>158548.07999999999</v>
      </c>
      <c r="L6" s="2660">
        <v>4000</v>
      </c>
      <c r="M6" s="175">
        <f t="shared" ref="M6:M14" si="0">ROUND(K6*L6/10000,0)</f>
        <v>63419</v>
      </c>
      <c r="N6" s="2661">
        <v>0</v>
      </c>
      <c r="O6" s="175">
        <f>IF($N$5="成新度","——",ROUND(M6*N6,0))</f>
        <v>0</v>
      </c>
      <c r="P6" s="176">
        <f>IF($N$5="成新度","——",M6-O6)</f>
        <v>63419</v>
      </c>
      <c r="Q6" s="2662">
        <v>0.15</v>
      </c>
      <c r="R6" s="177">
        <f>SUMIF('数据-汇总表'!C$19:C$33,A6,'数据-汇总表'!R$19:R$33)</f>
        <v>64389.63</v>
      </c>
      <c r="S6" s="132">
        <f>IF('数据-汇总表'!$I$17="按面积比例",SUMIF('数据-汇总表'!C$19:C$33,A6,'数据-汇总表'!K$19:K$33),SUMIF('数据-汇总表'!C$19:C$33,A6,'数据-汇总表'!N$19:N$33))</f>
        <v>2422.6799999999998</v>
      </c>
      <c r="T6" s="2067">
        <f>ROUND(S6*$L$14/10000,0)</f>
        <v>727</v>
      </c>
      <c r="U6" s="178"/>
      <c r="V6" s="179"/>
      <c r="W6" s="179"/>
      <c r="X6" s="2154"/>
      <c r="Y6" s="180"/>
      <c r="Z6" s="181"/>
      <c r="AA6" s="174"/>
      <c r="AB6" s="174"/>
      <c r="AC6" s="2157"/>
      <c r="AD6" s="182"/>
      <c r="AE6" s="942">
        <f ca="1">IF(AN6="",0,SUMIF(INDIRECT("'"&amp;AN6&amp;"'"&amp;"!E:E"),$AE$5,INDIRECT("'"&amp;AN6&amp;"'"&amp;"!F:F")))</f>
        <v>0</v>
      </c>
      <c r="AF6" s="139"/>
      <c r="AG6" s="1159">
        <f>IF(AF6="",0,AE6-AF6)</f>
        <v>0</v>
      </c>
      <c r="AH6" s="139"/>
      <c r="AI6" s="185"/>
      <c r="AJ6" s="186"/>
      <c r="AK6" s="187"/>
      <c r="AL6" s="188"/>
      <c r="AM6" s="2671"/>
      <c r="AN6" s="2200"/>
      <c r="AO6" s="3000"/>
      <c r="AP6" s="1150">
        <f>ROUND(1-1/(1+H6)^F6,3)</f>
        <v>0.93100000000000005</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t="str">
        <f>'数据-汇总表'!C20</f>
        <v>商业</v>
      </c>
      <c r="B7" s="2170" t="str">
        <f t="shared" ref="B7:B13" si="1">IF(A7=0,"","经营性")</f>
        <v>经营性</v>
      </c>
      <c r="C7" s="171" t="s">
        <v>3120</v>
      </c>
      <c r="D7" s="2141">
        <f>SUMIF(项目基本情况!D$15:I$15,C7,项目基本情况!D$18:I$18)</f>
        <v>40</v>
      </c>
      <c r="E7" s="2142">
        <f>IF(B7="","",SUMIF(项目基本情况!D$15:I$15,C7,项目基本情况!D$17:I$17))</f>
        <v>58732</v>
      </c>
      <c r="F7" s="172">
        <f>SUMIF(项目基本情况!D$15:I$15,C7,项目基本情况!D$19:I$19)</f>
        <v>38.31</v>
      </c>
      <c r="G7" s="173">
        <f t="shared" ref="G7:G11" si="2">IF(ISERROR(ROUND(POWER(1+H7,D7-F7)*(POWER(1+H7,F7)-1)/(POWER(1+H7,D7)-1),3)),0,ROUND(POWER(1+H7,D7-F7)*(POWER(1+H7,F7)-1)/(POWER(1+H7,D7)-1),3))</f>
        <v>0.98699999999999999</v>
      </c>
      <c r="H7" s="2659">
        <v>5.5E-2</v>
      </c>
      <c r="I7" s="2659">
        <v>0.06</v>
      </c>
      <c r="J7" s="174">
        <v>0.08</v>
      </c>
      <c r="K7" s="177">
        <f>SUMIF('数据-汇总表'!C$19:C$33,'数据-取费表'!A7,'数据-汇总表'!E$19:E$33)</f>
        <v>937.37</v>
      </c>
      <c r="L7" s="2660">
        <v>3000</v>
      </c>
      <c r="M7" s="175">
        <f t="shared" si="0"/>
        <v>281</v>
      </c>
      <c r="N7" s="2661">
        <v>0</v>
      </c>
      <c r="O7" s="175">
        <f t="shared" ref="O7:O14" si="3">IF($N$5="成新度","——",ROUND(M7*N7,0))</f>
        <v>0</v>
      </c>
      <c r="P7" s="176">
        <f t="shared" ref="P7:P14" si="4">IF($N$5="成新度","——",M7-O7)</f>
        <v>281</v>
      </c>
      <c r="Q7" s="2662">
        <v>0.25</v>
      </c>
      <c r="R7" s="177">
        <f>SUMIF('数据-汇总表'!C$19:C$33,A7,'数据-汇总表'!R$19:R$33)</f>
        <v>380.68000000000029</v>
      </c>
      <c r="S7" s="132">
        <f>IF('数据-汇总表'!$I$17="按面积比例",SUMIF('数据-汇总表'!C$19:C$33,A7,'数据-汇总表'!K$19:K$33),SUMIF('数据-汇总表'!C$19:C$33,A7,'数据-汇总表'!N$19:N$33))</f>
        <v>14.320000000000164</v>
      </c>
      <c r="T7" s="2067">
        <f t="shared" ref="T7:T8" si="5">ROUND(S7*$L$14/10000,0)</f>
        <v>4</v>
      </c>
      <c r="U7" s="178">
        <v>4.7</v>
      </c>
      <c r="V7" s="179">
        <v>0.03</v>
      </c>
      <c r="W7" s="179">
        <v>0.1</v>
      </c>
      <c r="X7" s="2154"/>
      <c r="Y7" s="180">
        <v>1</v>
      </c>
      <c r="Z7" s="181"/>
      <c r="AA7" s="174"/>
      <c r="AB7" s="174"/>
      <c r="AC7" s="2157"/>
      <c r="AD7" s="182"/>
      <c r="AE7" s="942">
        <f t="shared" ref="AE7:AE13" ca="1" si="6">IF(AN7="",0,SUMIF(INDIRECT("'"&amp;AN7&amp;"'"&amp;"!E:E"),$AE$5,INDIRECT("'"&amp;AN7&amp;"'"&amp;"!F:F")))</f>
        <v>35.31</v>
      </c>
      <c r="AF7" s="139"/>
      <c r="AG7" s="1159">
        <f t="shared" ref="AG7:AG13" si="7">IF(AF7="",0,AE7-AF7)</f>
        <v>0</v>
      </c>
      <c r="AH7" s="139"/>
      <c r="AI7" s="185">
        <v>365</v>
      </c>
      <c r="AJ7" s="186"/>
      <c r="AK7" s="187">
        <v>1.4999999999999999E-2</v>
      </c>
      <c r="AL7" s="188">
        <v>1E-3</v>
      </c>
      <c r="AM7" s="2198">
        <v>1.4999999999999999E-2</v>
      </c>
      <c r="AN7" s="2200" t="s">
        <v>3380</v>
      </c>
      <c r="AO7" s="3000"/>
      <c r="AP7" s="1150">
        <f t="shared" ref="AP7:AP13" si="8">ROUND(1-1/(1+H7)^F7,3)</f>
        <v>0.871</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t="str">
        <f>'数据-汇总表'!C21</f>
        <v>车库</v>
      </c>
      <c r="B8" s="2170" t="str">
        <f t="shared" si="1"/>
        <v>经营性</v>
      </c>
      <c r="C8" s="171" t="s">
        <v>3121</v>
      </c>
      <c r="D8" s="2141">
        <f>SUMIF(项目基本情况!D$15:I$15,C8,项目基本情况!D$18:I$18)</f>
        <v>40</v>
      </c>
      <c r="E8" s="2142">
        <f>IF(B8="","",SUMIF(项目基本情况!D$15:I$15,C8,项目基本情况!D$17:I$17))</f>
        <v>58732</v>
      </c>
      <c r="F8" s="172">
        <f>SUMIF(项目基本情况!D$15:I$15,C8,项目基本情况!D$19:I$19)</f>
        <v>38.31</v>
      </c>
      <c r="G8" s="173">
        <f t="shared" si="2"/>
        <v>0.98399999999999999</v>
      </c>
      <c r="H8" s="2659">
        <v>4.4999999999999998E-2</v>
      </c>
      <c r="I8" s="2659">
        <v>0.05</v>
      </c>
      <c r="J8" s="174">
        <v>0.08</v>
      </c>
      <c r="K8" s="177">
        <f>SUMIF('数据-汇总表'!C$19:C$33,'数据-取费表'!A8,'数据-汇总表'!E$19:E$33)</f>
        <v>62819.43</v>
      </c>
      <c r="L8" s="2660">
        <v>3000</v>
      </c>
      <c r="M8" s="175">
        <f>ROUND(K8*L8/10000,0)</f>
        <v>18846</v>
      </c>
      <c r="N8" s="2661">
        <v>0</v>
      </c>
      <c r="O8" s="175">
        <f t="shared" si="3"/>
        <v>0</v>
      </c>
      <c r="P8" s="176">
        <f t="shared" si="4"/>
        <v>18846</v>
      </c>
      <c r="Q8" s="2662">
        <v>0.05</v>
      </c>
      <c r="R8" s="177">
        <f>SUMIF('数据-汇总表'!C$19:C$33,A8,'数据-汇总表'!R$19:R$33)</f>
        <v>10274.26</v>
      </c>
      <c r="S8" s="132">
        <f>IF('数据-汇总表'!$I$17="按面积比例",SUMIF('数据-汇总表'!C$19:C$33,A8,'数据-汇总表'!K$19:K$33),SUMIF('数据-汇总表'!C$19:C$33,A8,'数据-汇总表'!N$19:N$33))</f>
        <v>258.93</v>
      </c>
      <c r="T8" s="2067">
        <f t="shared" si="5"/>
        <v>78</v>
      </c>
      <c r="U8" s="178">
        <v>400</v>
      </c>
      <c r="V8" s="179">
        <v>2.5000000000000001E-2</v>
      </c>
      <c r="W8" s="179">
        <v>0.1</v>
      </c>
      <c r="X8" s="2154"/>
      <c r="Y8" s="180">
        <v>1</v>
      </c>
      <c r="Z8" s="181"/>
      <c r="AA8" s="174"/>
      <c r="AB8" s="174"/>
      <c r="AC8" s="2157"/>
      <c r="AD8" s="182"/>
      <c r="AE8" s="942">
        <f t="shared" ca="1" si="6"/>
        <v>35.31</v>
      </c>
      <c r="AF8" s="139"/>
      <c r="AG8" s="1159">
        <f t="shared" si="7"/>
        <v>0</v>
      </c>
      <c r="AH8" s="139">
        <f>面积指标!AG5</f>
        <v>1760</v>
      </c>
      <c r="AI8" s="185">
        <v>12</v>
      </c>
      <c r="AJ8" s="186"/>
      <c r="AK8" s="187">
        <v>5.0000000000000001E-3</v>
      </c>
      <c r="AL8" s="188">
        <v>1E-3</v>
      </c>
      <c r="AM8" s="2198">
        <v>1.4999999999999999E-2</v>
      </c>
      <c r="AN8" s="2200" t="s">
        <v>3366</v>
      </c>
      <c r="AO8" s="3000"/>
      <c r="AP8" s="1150">
        <f t="shared" si="8"/>
        <v>0.81499999999999995</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2103</v>
      </c>
      <c r="B14" s="2139" t="s">
        <v>1479</v>
      </c>
      <c r="C14" s="2140" t="s">
        <v>2103</v>
      </c>
      <c r="D14" s="2141"/>
      <c r="E14" s="2142"/>
      <c r="F14" s="172"/>
      <c r="G14" s="173"/>
      <c r="H14" s="2143"/>
      <c r="I14" s="2143"/>
      <c r="J14" s="2143"/>
      <c r="K14" s="177">
        <f>SUMIF('数据-汇总表'!C$19:C$33,'数据-取费表'!A14,'数据-汇总表'!E$19:E$33)</f>
        <v>2695.93</v>
      </c>
      <c r="L14" s="191">
        <v>3000</v>
      </c>
      <c r="M14" s="175">
        <f t="shared" si="0"/>
        <v>809</v>
      </c>
      <c r="N14" s="192">
        <v>0</v>
      </c>
      <c r="O14" s="175">
        <f t="shared" si="3"/>
        <v>0</v>
      </c>
      <c r="P14" s="176">
        <f t="shared" si="4"/>
        <v>809</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2105</v>
      </c>
      <c r="B15" s="2139" t="s">
        <v>1479</v>
      </c>
      <c r="C15" s="2140" t="s">
        <v>2104</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0.99199999999999999</v>
      </c>
      <c r="H16" s="201">
        <f>ROUND(SUMPRODUCT(H6:H13,K6:K13)/SUMPRODUCT((H6:H13&gt;0)*(K6:K13)),3)</f>
        <v>4.1000000000000002E-2</v>
      </c>
      <c r="I16" s="202"/>
      <c r="J16" s="202"/>
      <c r="K16" s="203">
        <f>SUM(K6:K15)</f>
        <v>225000.80999999997</v>
      </c>
      <c r="L16" s="204">
        <f>ROUND(M16*10000/SUM(K6:K14),0)</f>
        <v>3705</v>
      </c>
      <c r="M16" s="204">
        <f>SUM(M6:M14)</f>
        <v>83355</v>
      </c>
      <c r="N16" s="205">
        <f>ROUND(SUMPRODUCT(M6:M14,N6:N14)/M16,3)</f>
        <v>0</v>
      </c>
      <c r="O16" s="204">
        <f>SUM(O6:O14)</f>
        <v>0</v>
      </c>
      <c r="P16" s="204">
        <f>SUM(P6:P14)</f>
        <v>83355</v>
      </c>
      <c r="Q16" s="206">
        <f>ROUND(SUMPRODUCT(Q6:Q13,K6:K13)/SUMPRODUCT((Q6:Q13&gt;0)*(K6:K13)),2)</f>
        <v>0.12</v>
      </c>
      <c r="R16" s="2144">
        <f>SUM(R6:R13)</f>
        <v>75044.569999999992</v>
      </c>
      <c r="S16" s="207">
        <f>SUM(S6:S13)</f>
        <v>2695.93</v>
      </c>
      <c r="T16" s="208">
        <f>IF(SUMIF(T6:T13,"&lt;9E307")=M14,SUMIF(T6:T13,"&lt;9E307"),"有误，请检查")</f>
        <v>809</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0.89800000000000002</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2715</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3</v>
      </c>
      <c r="C20" s="3012" t="s">
        <v>2124</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0</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3</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3</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2126</v>
      </c>
      <c r="B27" s="225">
        <v>150</v>
      </c>
      <c r="C27" s="3013" t="s">
        <v>2716</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2127</v>
      </c>
      <c r="B28" s="227">
        <v>150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2125</v>
      </c>
      <c r="B29" s="230">
        <v>0</v>
      </c>
      <c r="C29" s="3014" t="s">
        <v>2128</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200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2704</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3522">
        <v>0.05</v>
      </c>
      <c r="C34" s="3015" t="s">
        <v>2705</v>
      </c>
      <c r="D34" s="3016" t="s">
        <v>2712</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2706</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2707</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2708</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2708</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2235</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7.75" thickBot="1">
      <c r="A40" s="3187" t="s">
        <v>3364</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5.6000000000000001E-2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6.000000000000001E-3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7.0000000000000007E-2</v>
      </c>
      <c r="C44" s="3015" t="s">
        <v>2713</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2709</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2710</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2717</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2709</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2711</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1075</v>
      </c>
      <c r="C53" s="3008" t="s">
        <v>2604</v>
      </c>
      <c r="D53" s="3019" t="s">
        <v>2714</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2605</v>
      </c>
      <c r="B54" s="184">
        <v>5</v>
      </c>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2606</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2607</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2608</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2609</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2610</v>
      </c>
      <c r="B59" s="184"/>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2611</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2612</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2613</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2614</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648" t="s">
        <v>1463</v>
      </c>
      <c r="B1" s="3649"/>
      <c r="C1" s="3649"/>
      <c r="D1" s="3649"/>
      <c r="E1" s="3649"/>
      <c r="F1" s="3649"/>
      <c r="G1" s="3649"/>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2621</v>
      </c>
      <c r="D3" s="3035"/>
      <c r="E3" s="3036" t="s">
        <v>1466</v>
      </c>
      <c r="F3" s="3037" t="s">
        <v>1454</v>
      </c>
      <c r="G3" s="3038" t="s">
        <v>2620</v>
      </c>
      <c r="H3" s="3031"/>
      <c r="I3" s="3031"/>
      <c r="J3" s="3031"/>
      <c r="K3" s="3031"/>
      <c r="L3" s="3031"/>
      <c r="M3" s="3031"/>
      <c r="N3" s="3031"/>
      <c r="O3" s="3031"/>
      <c r="P3" s="3031"/>
      <c r="Q3" s="3031"/>
      <c r="R3" s="3031"/>
    </row>
    <row r="4" spans="1:18" ht="40.5">
      <c r="A4" s="3036"/>
      <c r="B4" s="3039" t="s">
        <v>1467</v>
      </c>
      <c r="C4" s="3040" t="s">
        <v>2622</v>
      </c>
      <c r="D4" s="3035"/>
      <c r="E4" s="3041"/>
      <c r="F4" s="3042" t="s">
        <v>1468</v>
      </c>
      <c r="G4" s="3043" t="s">
        <v>2617</v>
      </c>
      <c r="H4" s="3031"/>
      <c r="I4" s="3031"/>
      <c r="J4" s="3031"/>
      <c r="K4" s="3031"/>
      <c r="L4" s="3031"/>
      <c r="M4" s="3031"/>
      <c r="N4" s="3031"/>
      <c r="O4" s="3031"/>
      <c r="P4" s="3031"/>
      <c r="Q4" s="3031"/>
      <c r="R4" s="3031"/>
    </row>
    <row r="5" spans="1:18" ht="41.25">
      <c r="A5" s="3036"/>
      <c r="B5" s="3039" t="s">
        <v>1469</v>
      </c>
      <c r="C5" s="3040" t="s">
        <v>2623</v>
      </c>
      <c r="D5" s="3035"/>
      <c r="E5" s="3041"/>
      <c r="F5" s="3039" t="s">
        <v>2263</v>
      </c>
      <c r="G5" s="3043" t="s">
        <v>2618</v>
      </c>
      <c r="H5" s="3031"/>
      <c r="I5" s="3031"/>
      <c r="J5" s="3031"/>
      <c r="K5" s="3031"/>
      <c r="L5" s="3031"/>
      <c r="M5" s="3031"/>
      <c r="N5" s="3031"/>
      <c r="O5" s="3031"/>
      <c r="P5" s="3031"/>
      <c r="Q5" s="3031"/>
      <c r="R5" s="3031"/>
    </row>
    <row r="6" spans="1:18" ht="40.5">
      <c r="A6" s="3036"/>
      <c r="B6" s="3039" t="s">
        <v>1455</v>
      </c>
      <c r="C6" s="3043" t="s">
        <v>2617</v>
      </c>
      <c r="D6" s="3035"/>
      <c r="E6" s="3041"/>
      <c r="F6" s="3039" t="s">
        <v>2264</v>
      </c>
      <c r="G6" s="3043" t="s">
        <v>2615</v>
      </c>
      <c r="H6" s="3031"/>
      <c r="I6" s="3031"/>
      <c r="J6" s="3031"/>
      <c r="K6" s="3031"/>
      <c r="L6" s="3031"/>
      <c r="M6" s="3031"/>
      <c r="N6" s="3031"/>
      <c r="O6" s="3031"/>
      <c r="P6" s="3031"/>
      <c r="Q6" s="3031"/>
      <c r="R6" s="3031"/>
    </row>
    <row r="7" spans="1:18" ht="27.75" thickBot="1">
      <c r="A7" s="3036"/>
      <c r="B7" s="3039" t="s">
        <v>2263</v>
      </c>
      <c r="C7" s="3043" t="s">
        <v>2618</v>
      </c>
      <c r="D7" s="3044"/>
      <c r="E7" s="3045"/>
      <c r="F7" s="3046" t="s">
        <v>1470</v>
      </c>
      <c r="G7" s="3047" t="s">
        <v>2619</v>
      </c>
      <c r="H7" s="3031"/>
      <c r="I7" s="3031"/>
      <c r="J7" s="3031"/>
      <c r="K7" s="3031"/>
      <c r="L7" s="3031"/>
      <c r="M7" s="3031"/>
      <c r="N7" s="3031"/>
      <c r="O7" s="3031"/>
      <c r="P7" s="3031"/>
      <c r="Q7" s="3031"/>
      <c r="R7" s="3031"/>
    </row>
    <row r="8" spans="1:18">
      <c r="A8" s="3036"/>
      <c r="B8" s="3039" t="s">
        <v>2264</v>
      </c>
      <c r="C8" s="3043" t="s">
        <v>2615</v>
      </c>
      <c r="D8" s="3044"/>
      <c r="E8" s="3044"/>
      <c r="F8" s="3048"/>
      <c r="G8" s="3048"/>
      <c r="H8" s="3031"/>
      <c r="I8" s="3031"/>
      <c r="J8" s="3031"/>
      <c r="K8" s="3031"/>
      <c r="L8" s="3031"/>
      <c r="M8" s="3031"/>
      <c r="N8" s="3031"/>
      <c r="O8" s="3031"/>
      <c r="P8" s="3031"/>
      <c r="Q8" s="3031"/>
      <c r="R8" s="3031"/>
    </row>
    <row r="9" spans="1:18" ht="27">
      <c r="A9" s="3036"/>
      <c r="B9" s="3039" t="s">
        <v>1456</v>
      </c>
      <c r="C9" s="3040" t="s">
        <v>2616</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2263</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2264</v>
      </c>
      <c r="G20" s="3083" t="str">
        <f>G6</f>
        <v>估价对象所在区域基础设施水平</v>
      </c>
    </row>
    <row r="21" spans="1:7" ht="27">
      <c r="A21" s="3078"/>
      <c r="B21" s="3039" t="s">
        <v>2263</v>
      </c>
      <c r="C21" s="3083" t="str">
        <f>C7</f>
        <v>估价对象所在区域公共配套设施齐备情况</v>
      </c>
      <c r="D21" s="3035"/>
      <c r="E21" s="3081"/>
      <c r="F21" s="3082" t="s">
        <v>1461</v>
      </c>
      <c r="G21" s="3085"/>
    </row>
    <row r="22" spans="1:7" ht="14.25">
      <c r="A22" s="3078"/>
      <c r="B22" s="3039" t="s">
        <v>2264</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E34" sqref="E34"/>
    </sheetView>
  </sheetViews>
  <sheetFormatPr defaultColWidth="14.625" defaultRowHeight="13.5"/>
  <cols>
    <col min="1" max="1" width="24.375" style="3094" customWidth="1"/>
    <col min="2" max="16384" width="14.625" style="3094"/>
  </cols>
  <sheetData>
    <row r="1" spans="1:10" ht="16.5">
      <c r="A1" s="3093" t="s">
        <v>2556</v>
      </c>
      <c r="B1" s="3093">
        <f>SUM(B14:B23)</f>
        <v>366974.05000000005</v>
      </c>
      <c r="C1" s="3102"/>
      <c r="D1" s="3102"/>
      <c r="E1" s="3102"/>
      <c r="F1" s="3102"/>
      <c r="G1" s="3103"/>
      <c r="H1" s="3103"/>
      <c r="I1" s="3103"/>
      <c r="J1" s="3103"/>
    </row>
    <row r="2" spans="1:10" ht="16.5">
      <c r="A2" s="3093" t="s">
        <v>2557</v>
      </c>
      <c r="B2" s="3093">
        <f>SUM(C14:C23)</f>
        <v>115915.28</v>
      </c>
      <c r="C2" s="3102"/>
      <c r="D2" s="3102"/>
      <c r="E2" s="3102"/>
      <c r="F2" s="3102"/>
      <c r="G2" s="3103"/>
      <c r="H2" s="3103"/>
      <c r="I2" s="3103"/>
      <c r="J2" s="3103"/>
    </row>
    <row r="3" spans="1:10" ht="16.5">
      <c r="A3" s="3093" t="s">
        <v>2558</v>
      </c>
      <c r="B3" s="3095">
        <f>项目基本情况!D3</f>
        <v>44747</v>
      </c>
      <c r="C3" s="3102"/>
      <c r="D3" s="3102"/>
      <c r="E3" s="3102"/>
      <c r="F3" s="3102"/>
      <c r="G3" s="3103"/>
      <c r="H3" s="3103"/>
      <c r="I3" s="3103"/>
      <c r="J3" s="3103"/>
    </row>
    <row r="4" spans="1:10" ht="33">
      <c r="A4" s="3093" t="s">
        <v>2559</v>
      </c>
      <c r="B4" s="3093" t="s">
        <v>2560</v>
      </c>
      <c r="C4" s="3093" t="s">
        <v>2561</v>
      </c>
      <c r="D4" s="3093" t="s">
        <v>2562</v>
      </c>
      <c r="E4" s="3102"/>
      <c r="F4" s="3102"/>
      <c r="G4" s="3103"/>
      <c r="H4" s="3103"/>
      <c r="I4" s="3103"/>
      <c r="J4" s="3103"/>
    </row>
    <row r="5" spans="1:10" ht="16.5">
      <c r="A5" s="3093" t="s">
        <v>2563</v>
      </c>
      <c r="B5" s="3093">
        <f ca="1">SUM(D14:D23)</f>
        <v>378479</v>
      </c>
      <c r="C5" s="3093">
        <f ca="1">ROUND(B5*10000/$B$1,0)</f>
        <v>10314</v>
      </c>
      <c r="D5" s="3093">
        <f ca="1">ROUND(B5*10000/$B$2,0)</f>
        <v>32651</v>
      </c>
      <c r="E5" s="3102"/>
      <c r="F5" s="3102"/>
      <c r="G5" s="3103"/>
      <c r="H5" s="3103"/>
      <c r="I5" s="3103"/>
      <c r="J5" s="3103"/>
    </row>
    <row r="6" spans="1:10" ht="16.5">
      <c r="A6" s="3093" t="s">
        <v>2564</v>
      </c>
      <c r="B6" s="3093">
        <f ca="1">SUM(G14:G23)</f>
        <v>152704</v>
      </c>
      <c r="C6" s="3093">
        <f t="shared" ref="C6:C8" ca="1" si="0">ROUND(B6*10000/$B$1,0)</f>
        <v>4161</v>
      </c>
      <c r="D6" s="3093">
        <f t="shared" ref="D6:D8" ca="1" si="1">ROUND(B6*10000/$B$2,0)</f>
        <v>13174</v>
      </c>
      <c r="E6" s="3102"/>
      <c r="F6" s="3102"/>
      <c r="G6" s="3103"/>
      <c r="H6" s="3103"/>
      <c r="I6" s="3103"/>
      <c r="J6" s="3103"/>
    </row>
    <row r="7" spans="1:10" ht="16.5">
      <c r="A7" s="3093" t="s">
        <v>2565</v>
      </c>
      <c r="B7" s="3093">
        <f>SUM(H14:H23)</f>
        <v>0</v>
      </c>
      <c r="C7" s="3093">
        <f t="shared" si="0"/>
        <v>0</v>
      </c>
      <c r="D7" s="3093">
        <f t="shared" si="1"/>
        <v>0</v>
      </c>
      <c r="E7" s="3102"/>
      <c r="F7" s="3102"/>
      <c r="G7" s="3103"/>
      <c r="H7" s="3103"/>
      <c r="I7" s="3103"/>
      <c r="J7" s="3103"/>
    </row>
    <row r="8" spans="1:10" ht="16.5">
      <c r="A8" s="3093" t="s">
        <v>2566</v>
      </c>
      <c r="B8" s="3093">
        <f>SUM(I14:I23)</f>
        <v>0</v>
      </c>
      <c r="C8" s="3093">
        <f t="shared" si="0"/>
        <v>0</v>
      </c>
      <c r="D8" s="3093">
        <f t="shared" si="1"/>
        <v>0</v>
      </c>
      <c r="E8" s="3102"/>
      <c r="F8" s="3102"/>
      <c r="G8" s="3103"/>
      <c r="H8" s="3103"/>
      <c r="I8" s="3103"/>
      <c r="J8" s="3103"/>
    </row>
    <row r="9" spans="1:10" ht="16.5">
      <c r="A9" s="3093" t="s">
        <v>2567</v>
      </c>
      <c r="B9" s="3101"/>
      <c r="C9" s="3102"/>
      <c r="D9" s="3102"/>
      <c r="E9" s="3102"/>
      <c r="F9" s="3102"/>
      <c r="G9" s="3103"/>
      <c r="H9" s="3103"/>
      <c r="I9" s="3103"/>
      <c r="J9" s="3103"/>
    </row>
    <row r="10" spans="1:10" ht="16.5">
      <c r="A10" s="3093" t="s">
        <v>2568</v>
      </c>
      <c r="B10" s="3101"/>
      <c r="C10" s="3102"/>
      <c r="D10" s="3102"/>
      <c r="E10" s="3102"/>
      <c r="F10" s="3102"/>
      <c r="G10" s="3103"/>
      <c r="H10" s="3103"/>
      <c r="I10" s="3103"/>
      <c r="J10" s="3103"/>
    </row>
    <row r="11" spans="1:10" ht="16.5">
      <c r="A11" s="3093" t="s">
        <v>2585</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2584</v>
      </c>
      <c r="B13" s="3097" t="s">
        <v>2556</v>
      </c>
      <c r="C13" s="3097" t="s">
        <v>2557</v>
      </c>
      <c r="D13" s="3097" t="s">
        <v>2569</v>
      </c>
      <c r="E13" s="3093" t="s">
        <v>2583</v>
      </c>
      <c r="F13" s="3093" t="s">
        <v>2562</v>
      </c>
      <c r="G13" s="3097" t="s">
        <v>2570</v>
      </c>
      <c r="H13" s="3097" t="s">
        <v>2571</v>
      </c>
      <c r="I13" s="3097" t="s">
        <v>2572</v>
      </c>
      <c r="J13" s="3103"/>
    </row>
    <row r="14" spans="1:10" ht="16.5">
      <c r="A14" s="3098" t="s">
        <v>2582</v>
      </c>
      <c r="B14" s="3099">
        <f>拆分价值!I11</f>
        <v>161922.45000000001</v>
      </c>
      <c r="C14" s="3099">
        <f>结果表!K38</f>
        <v>64770.31</v>
      </c>
      <c r="D14" s="3099">
        <f ca="1">拆分价值!H11</f>
        <v>250032</v>
      </c>
      <c r="E14" s="3099">
        <f ca="1">ROUND(D14*10000/B14,0)</f>
        <v>15441</v>
      </c>
      <c r="F14" s="3099">
        <f ca="1">ROUND(D14*10000/C14,0)</f>
        <v>38603</v>
      </c>
      <c r="G14" s="3099">
        <f ca="1">拆分价值!O11</f>
        <v>77236</v>
      </c>
      <c r="H14" s="3099" t="str">
        <f>结果表!C45</f>
        <v>——</v>
      </c>
      <c r="I14" s="3099" t="str">
        <f>结果表!C46</f>
        <v>——</v>
      </c>
      <c r="J14" s="3103"/>
    </row>
    <row r="15" spans="1:10" ht="16.5">
      <c r="A15" s="3098" t="s">
        <v>2573</v>
      </c>
      <c r="B15" s="3100">
        <f>[3]系统读取表!$B$14</f>
        <v>205051.6</v>
      </c>
      <c r="C15" s="3100">
        <f>[3]系统读取表!$C$14</f>
        <v>51144.97</v>
      </c>
      <c r="D15" s="3100">
        <f>[3]系统读取表!$D$14</f>
        <v>128447</v>
      </c>
      <c r="E15" s="3099">
        <f t="shared" ref="E15:E23" si="2">ROUND(D15*10000/B15,0)</f>
        <v>6264</v>
      </c>
      <c r="F15" s="3099">
        <f t="shared" ref="F15:F23" si="3">ROUND(D15*10000/C15,0)</f>
        <v>25114</v>
      </c>
      <c r="G15" s="2675">
        <f>[3]系统读取表!$G$14</f>
        <v>75468</v>
      </c>
      <c r="H15" s="2675"/>
      <c r="I15" s="3100"/>
      <c r="J15" s="3103"/>
    </row>
    <row r="16" spans="1:10" ht="16.5">
      <c r="A16" s="3098" t="s">
        <v>2574</v>
      </c>
      <c r="B16" s="3100"/>
      <c r="C16" s="3100"/>
      <c r="D16" s="3100"/>
      <c r="E16" s="3099" t="e">
        <f t="shared" si="2"/>
        <v>#DIV/0!</v>
      </c>
      <c r="F16" s="3099" t="e">
        <f t="shared" si="3"/>
        <v>#DIV/0!</v>
      </c>
      <c r="G16" s="2675"/>
      <c r="H16" s="2675"/>
      <c r="I16" s="3100"/>
      <c r="J16" s="3103"/>
    </row>
    <row r="17" spans="1:10" ht="16.5">
      <c r="A17" s="3098" t="s">
        <v>2575</v>
      </c>
      <c r="B17" s="3100"/>
      <c r="C17" s="3100"/>
      <c r="D17" s="3100"/>
      <c r="E17" s="3099" t="e">
        <f t="shared" si="2"/>
        <v>#DIV/0!</v>
      </c>
      <c r="F17" s="3099" t="e">
        <f t="shared" si="3"/>
        <v>#DIV/0!</v>
      </c>
      <c r="G17" s="2675"/>
      <c r="H17" s="2675"/>
      <c r="I17" s="3100"/>
      <c r="J17" s="3103"/>
    </row>
    <row r="18" spans="1:10" ht="16.5">
      <c r="A18" s="3098" t="s">
        <v>2576</v>
      </c>
      <c r="B18" s="3100"/>
      <c r="C18" s="3100"/>
      <c r="D18" s="3100"/>
      <c r="E18" s="3099" t="e">
        <f t="shared" si="2"/>
        <v>#DIV/0!</v>
      </c>
      <c r="F18" s="3099" t="e">
        <f t="shared" si="3"/>
        <v>#DIV/0!</v>
      </c>
      <c r="G18" s="3100"/>
      <c r="H18" s="3100"/>
      <c r="I18" s="3100"/>
      <c r="J18" s="3103"/>
    </row>
    <row r="19" spans="1:10" ht="16.5">
      <c r="A19" s="3098" t="s">
        <v>2577</v>
      </c>
      <c r="B19" s="3100"/>
      <c r="C19" s="3100"/>
      <c r="D19" s="3100"/>
      <c r="E19" s="3099" t="e">
        <f t="shared" si="2"/>
        <v>#DIV/0!</v>
      </c>
      <c r="F19" s="3099" t="e">
        <f t="shared" si="3"/>
        <v>#DIV/0!</v>
      </c>
      <c r="G19" s="3100"/>
      <c r="H19" s="3100"/>
      <c r="I19" s="3100"/>
      <c r="J19" s="3103"/>
    </row>
    <row r="20" spans="1:10" ht="16.5">
      <c r="A20" s="3098" t="s">
        <v>2578</v>
      </c>
      <c r="B20" s="3100"/>
      <c r="C20" s="3100"/>
      <c r="D20" s="3100"/>
      <c r="E20" s="3099" t="e">
        <f t="shared" si="2"/>
        <v>#DIV/0!</v>
      </c>
      <c r="F20" s="3099" t="e">
        <f t="shared" si="3"/>
        <v>#DIV/0!</v>
      </c>
      <c r="G20" s="3100"/>
      <c r="H20" s="3100"/>
      <c r="I20" s="3100"/>
      <c r="J20" s="3103"/>
    </row>
    <row r="21" spans="1:10" ht="16.5">
      <c r="A21" s="3098" t="s">
        <v>2579</v>
      </c>
      <c r="B21" s="3100"/>
      <c r="C21" s="3100"/>
      <c r="D21" s="3100"/>
      <c r="E21" s="3099" t="e">
        <f t="shared" si="2"/>
        <v>#DIV/0!</v>
      </c>
      <c r="F21" s="3099" t="e">
        <f t="shared" si="3"/>
        <v>#DIV/0!</v>
      </c>
      <c r="G21" s="3100"/>
      <c r="H21" s="3100"/>
      <c r="I21" s="3100"/>
      <c r="J21" s="3103"/>
    </row>
    <row r="22" spans="1:10" ht="16.5">
      <c r="A22" s="3098" t="s">
        <v>2580</v>
      </c>
      <c r="B22" s="3100"/>
      <c r="C22" s="3100"/>
      <c r="D22" s="3100"/>
      <c r="E22" s="3099" t="e">
        <f t="shared" si="2"/>
        <v>#DIV/0!</v>
      </c>
      <c r="F22" s="3099" t="e">
        <f t="shared" si="3"/>
        <v>#DIV/0!</v>
      </c>
      <c r="G22" s="3100"/>
      <c r="H22" s="3100"/>
      <c r="I22" s="3100"/>
      <c r="J22" s="3103"/>
    </row>
    <row r="23" spans="1:10" ht="16.5">
      <c r="A23" s="3098" t="s">
        <v>2581</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E42" sqref="E42"/>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5" t="s">
        <v>1847</v>
      </c>
      <c r="B1" s="1646"/>
      <c r="C1" s="1674" t="s">
        <v>1848</v>
      </c>
      <c r="D1" s="1675"/>
      <c r="E1" s="1674" t="s">
        <v>1849</v>
      </c>
      <c r="F1" s="1676"/>
      <c r="G1" s="309"/>
      <c r="H1" s="309"/>
      <c r="I1" s="309"/>
      <c r="J1" s="1865"/>
      <c r="K1" s="1865"/>
      <c r="L1" s="1865"/>
      <c r="M1" s="1865"/>
      <c r="N1" s="1865"/>
      <c r="O1" s="1865"/>
      <c r="P1" s="1865"/>
      <c r="Q1" s="1865"/>
      <c r="R1" s="1865"/>
      <c r="S1" s="1865"/>
      <c r="T1" s="1865"/>
      <c r="U1" s="1865"/>
      <c r="V1" s="1865"/>
    </row>
    <row r="2" spans="1:22" ht="21.75" customHeight="1" thickBot="1">
      <c r="A2" s="3694" t="str">
        <f>项目基本情况!K2</f>
        <v>出让国有建设用地使用权</v>
      </c>
      <c r="B2" s="3695"/>
      <c r="C2" s="3696"/>
      <c r="D2" s="3696"/>
      <c r="E2" s="3696"/>
      <c r="F2" s="3696"/>
      <c r="G2" s="3695"/>
      <c r="H2" s="3695"/>
      <c r="I2" s="3697"/>
      <c r="J2" s="1866"/>
      <c r="K2" s="1865"/>
      <c r="L2" s="1865"/>
      <c r="M2" s="1865"/>
      <c r="N2" s="1865"/>
      <c r="O2" s="1865"/>
      <c r="P2" s="1865"/>
      <c r="Q2" s="1865"/>
      <c r="R2" s="1865"/>
      <c r="S2" s="1865"/>
      <c r="T2" s="1865"/>
      <c r="U2" s="1865"/>
      <c r="V2" s="1865"/>
    </row>
    <row r="3" spans="1:22" ht="14.25">
      <c r="A3" s="3687" t="s">
        <v>298</v>
      </c>
      <c r="B3" s="3688"/>
      <c r="C3" s="3688"/>
      <c r="D3" s="3688"/>
      <c r="E3" s="3688"/>
      <c r="F3" s="3688"/>
      <c r="G3" s="3688"/>
      <c r="H3" s="3688"/>
      <c r="I3" s="3688"/>
      <c r="J3" s="1866"/>
      <c r="K3" s="1865"/>
      <c r="L3" s="1865"/>
      <c r="M3" s="1865"/>
      <c r="N3" s="1865"/>
      <c r="O3" s="1865"/>
      <c r="P3" s="1865"/>
      <c r="Q3" s="1865"/>
      <c r="R3" s="1865"/>
      <c r="S3" s="1865"/>
      <c r="T3" s="1865"/>
      <c r="U3" s="1865"/>
      <c r="V3" s="1865"/>
    </row>
    <row r="4" spans="1:22" ht="14.25">
      <c r="A4" s="256" t="s">
        <v>299</v>
      </c>
      <c r="B4" s="257" t="s">
        <v>300</v>
      </c>
      <c r="C4" s="258" t="s">
        <v>3936</v>
      </c>
      <c r="D4" s="258" t="s">
        <v>3937</v>
      </c>
      <c r="E4" s="3653" t="s">
        <v>301</v>
      </c>
      <c r="F4" s="3654"/>
      <c r="G4" s="3654"/>
      <c r="H4" s="3654"/>
      <c r="I4" s="3689"/>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52" t="s">
        <v>302</v>
      </c>
      <c r="B5" s="3681">
        <v>25</v>
      </c>
      <c r="C5" s="3679"/>
      <c r="D5" s="3683"/>
      <c r="E5" s="259" t="s">
        <v>303</v>
      </c>
      <c r="F5" s="260"/>
      <c r="G5" s="260"/>
      <c r="H5" s="260"/>
      <c r="I5" s="261"/>
      <c r="J5" s="1866"/>
      <c r="K5" s="1865"/>
      <c r="L5" s="1865"/>
      <c r="M5" s="1865"/>
      <c r="N5" s="1865"/>
      <c r="O5" s="1865"/>
      <c r="P5" s="1865"/>
      <c r="Q5" s="1865"/>
      <c r="R5" s="1865"/>
      <c r="S5" s="1865"/>
      <c r="T5" s="1865"/>
      <c r="U5" s="1865"/>
      <c r="V5" s="1865"/>
    </row>
    <row r="6" spans="1:22" ht="14.25">
      <c r="A6" s="3652"/>
      <c r="B6" s="3681"/>
      <c r="C6" s="3682"/>
      <c r="D6" s="3683"/>
      <c r="E6" s="259" t="s">
        <v>304</v>
      </c>
      <c r="F6" s="260"/>
      <c r="G6" s="260"/>
      <c r="H6" s="260"/>
      <c r="I6" s="261"/>
      <c r="J6" s="1866"/>
      <c r="K6" s="1865"/>
      <c r="L6" s="1865"/>
      <c r="M6" s="1865"/>
      <c r="N6" s="1865"/>
      <c r="O6" s="1865"/>
      <c r="P6" s="1865"/>
      <c r="Q6" s="1865"/>
      <c r="R6" s="1865"/>
      <c r="S6" s="1865"/>
      <c r="T6" s="1865"/>
      <c r="U6" s="1865"/>
      <c r="V6" s="1865"/>
    </row>
    <row r="7" spans="1:22" ht="14.25">
      <c r="A7" s="3652"/>
      <c r="B7" s="3681"/>
      <c r="C7" s="3680"/>
      <c r="D7" s="3683"/>
      <c r="E7" s="259" t="s">
        <v>305</v>
      </c>
      <c r="F7" s="260"/>
      <c r="G7" s="260"/>
      <c r="H7" s="260"/>
      <c r="I7" s="261"/>
      <c r="J7" s="1866"/>
      <c r="K7" s="1865"/>
      <c r="L7" s="1865"/>
      <c r="M7" s="1865"/>
      <c r="N7" s="1865"/>
      <c r="O7" s="1865"/>
      <c r="P7" s="1865"/>
      <c r="Q7" s="1865"/>
      <c r="R7" s="1865"/>
      <c r="S7" s="1865"/>
      <c r="T7" s="1865"/>
      <c r="U7" s="1865"/>
      <c r="V7" s="1865"/>
    </row>
    <row r="8" spans="1:22" ht="14.25">
      <c r="A8" s="3652" t="s">
        <v>306</v>
      </c>
      <c r="B8" s="3681">
        <v>15</v>
      </c>
      <c r="C8" s="3679"/>
      <c r="D8" s="3683"/>
      <c r="E8" s="259" t="s">
        <v>307</v>
      </c>
      <c r="F8" s="260"/>
      <c r="G8" s="260"/>
      <c r="H8" s="260"/>
      <c r="I8" s="261"/>
      <c r="J8" s="1866"/>
      <c r="K8" s="1865"/>
      <c r="L8" s="1865"/>
      <c r="M8" s="1865"/>
      <c r="N8" s="1865"/>
      <c r="O8" s="1865"/>
      <c r="P8" s="1865"/>
      <c r="Q8" s="1865"/>
      <c r="R8" s="1865"/>
      <c r="S8" s="1865"/>
      <c r="T8" s="1865"/>
      <c r="U8" s="1865"/>
      <c r="V8" s="1865"/>
    </row>
    <row r="9" spans="1:22" ht="14.25">
      <c r="A9" s="3652"/>
      <c r="B9" s="3681"/>
      <c r="C9" s="3680"/>
      <c r="D9" s="3683"/>
      <c r="E9" s="259" t="s">
        <v>308</v>
      </c>
      <c r="F9" s="260"/>
      <c r="G9" s="260"/>
      <c r="H9" s="260"/>
      <c r="I9" s="261"/>
      <c r="J9" s="1866"/>
      <c r="K9" s="1865"/>
      <c r="L9" s="1865"/>
      <c r="M9" s="1865"/>
      <c r="N9" s="1865"/>
      <c r="O9" s="1865"/>
      <c r="P9" s="1865"/>
      <c r="Q9" s="1865"/>
      <c r="R9" s="1865"/>
      <c r="S9" s="1865"/>
      <c r="T9" s="1865"/>
      <c r="U9" s="1865"/>
      <c r="V9" s="1865"/>
    </row>
    <row r="10" spans="1:22" ht="14.25">
      <c r="A10" s="3652" t="s">
        <v>309</v>
      </c>
      <c r="B10" s="3681">
        <v>15</v>
      </c>
      <c r="C10" s="3679"/>
      <c r="D10" s="3683"/>
      <c r="E10" s="259" t="s">
        <v>310</v>
      </c>
      <c r="F10" s="260"/>
      <c r="G10" s="260"/>
      <c r="H10" s="260"/>
      <c r="I10" s="261"/>
      <c r="J10" s="1866"/>
      <c r="K10" s="1865"/>
      <c r="L10" s="1865"/>
      <c r="M10" s="1865"/>
      <c r="N10" s="1865"/>
      <c r="O10" s="1865"/>
      <c r="P10" s="1865"/>
      <c r="Q10" s="1865"/>
      <c r="R10" s="1865"/>
      <c r="S10" s="1865"/>
      <c r="T10" s="1865"/>
      <c r="U10" s="1865"/>
      <c r="V10" s="1865"/>
    </row>
    <row r="11" spans="1:22" ht="14.25">
      <c r="A11" s="3652"/>
      <c r="B11" s="3681"/>
      <c r="C11" s="3680"/>
      <c r="D11" s="3683"/>
      <c r="E11" s="259" t="s">
        <v>311</v>
      </c>
      <c r="F11" s="260"/>
      <c r="G11" s="260"/>
      <c r="H11" s="260"/>
      <c r="I11" s="261"/>
      <c r="J11" s="1866"/>
      <c r="K11" s="1865"/>
      <c r="L11" s="1865"/>
      <c r="M11" s="1865"/>
      <c r="N11" s="1865"/>
      <c r="O11" s="1865"/>
      <c r="P11" s="1865"/>
      <c r="Q11" s="1865"/>
      <c r="R11" s="1865"/>
      <c r="S11" s="1865"/>
      <c r="T11" s="1865"/>
      <c r="U11" s="1865"/>
      <c r="V11" s="1865"/>
    </row>
    <row r="12" spans="1:22" ht="14.25">
      <c r="A12" s="3652" t="s">
        <v>312</v>
      </c>
      <c r="B12" s="3681">
        <v>15</v>
      </c>
      <c r="C12" s="3679"/>
      <c r="D12" s="3683"/>
      <c r="E12" s="259" t="s">
        <v>313</v>
      </c>
      <c r="F12" s="260"/>
      <c r="G12" s="260"/>
      <c r="H12" s="260"/>
      <c r="I12" s="261"/>
      <c r="J12" s="1866"/>
      <c r="K12" s="1865"/>
      <c r="L12" s="1865"/>
      <c r="M12" s="1865"/>
      <c r="N12" s="1865"/>
      <c r="O12" s="1865"/>
      <c r="P12" s="1865"/>
      <c r="Q12" s="1865"/>
      <c r="R12" s="1865"/>
      <c r="S12" s="1865"/>
      <c r="T12" s="1865"/>
      <c r="U12" s="1865"/>
      <c r="V12" s="1865"/>
    </row>
    <row r="13" spans="1:22" ht="14.25">
      <c r="A13" s="3652"/>
      <c r="B13" s="3681"/>
      <c r="C13" s="3680"/>
      <c r="D13" s="3683"/>
      <c r="E13" s="259" t="s">
        <v>314</v>
      </c>
      <c r="F13" s="260"/>
      <c r="G13" s="260"/>
      <c r="H13" s="260"/>
      <c r="I13" s="261"/>
      <c r="J13" s="1866"/>
      <c r="K13" s="1865"/>
      <c r="L13" s="1865"/>
      <c r="M13" s="1865"/>
      <c r="N13" s="1865"/>
      <c r="O13" s="1865"/>
      <c r="P13" s="1865"/>
      <c r="Q13" s="1865"/>
      <c r="R13" s="1865"/>
      <c r="S13" s="1865"/>
      <c r="T13" s="1865"/>
      <c r="U13" s="1865"/>
      <c r="V13" s="1865"/>
    </row>
    <row r="14" spans="1:22" ht="14.25">
      <c r="A14" s="3652" t="s">
        <v>315</v>
      </c>
      <c r="B14" s="3681">
        <v>30</v>
      </c>
      <c r="C14" s="3679">
        <v>5</v>
      </c>
      <c r="D14" s="3683">
        <v>5</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652"/>
      <c r="B15" s="3681"/>
      <c r="C15" s="3682"/>
      <c r="D15" s="3683"/>
      <c r="E15" s="259" t="s">
        <v>317</v>
      </c>
      <c r="F15" s="260"/>
      <c r="G15" s="260"/>
      <c r="H15" s="260"/>
      <c r="I15" s="261"/>
      <c r="J15" s="1866"/>
      <c r="K15" s="1865"/>
      <c r="L15" s="1865"/>
      <c r="M15" s="1865"/>
      <c r="N15" s="1865"/>
      <c r="O15" s="1865"/>
      <c r="P15" s="1865"/>
      <c r="Q15" s="1865"/>
      <c r="R15" s="1865"/>
      <c r="S15" s="1865"/>
      <c r="T15" s="1865"/>
      <c r="U15" s="1865"/>
      <c r="V15" s="1865"/>
    </row>
    <row r="16" spans="1:22" ht="14.25">
      <c r="A16" s="3652"/>
      <c r="B16" s="3681"/>
      <c r="C16" s="3680"/>
      <c r="D16" s="3683"/>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0.5</v>
      </c>
      <c r="D18" s="265">
        <f>1-C18</f>
        <v>0.5</v>
      </c>
      <c r="E18" s="3684" t="s">
        <v>2693</v>
      </c>
      <c r="F18" s="3685"/>
      <c r="G18" s="3685"/>
      <c r="H18" s="3685"/>
      <c r="I18" s="3685"/>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269897</v>
      </c>
      <c r="D19" s="269">
        <f ca="1">SUMIF(INDIRECT("'"&amp;D4&amp;"'"&amp;"!A:A"),结果表!B19,INDIRECT("'"&amp;D4&amp;"'"&amp;"!B:B"))</f>
        <v>241750</v>
      </c>
      <c r="E19" s="266" t="s">
        <v>323</v>
      </c>
      <c r="F19" s="267" t="s">
        <v>322</v>
      </c>
      <c r="G19" s="270">
        <f ca="1">ROUND(C19*$C$18+D19*$D$18,0)</f>
        <v>255824</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11995</v>
      </c>
      <c r="D20" s="275">
        <f ca="1">SUMIF(INDIRECT("'"&amp;D4&amp;"'"&amp;"!A:A"),结果表!B20,INDIRECT("'"&amp;D4&amp;"'"&amp;"!B:B"))</f>
        <v>10744</v>
      </c>
      <c r="E20" s="272"/>
      <c r="F20" s="273" t="s">
        <v>325</v>
      </c>
      <c r="G20" s="276">
        <f ca="1">ROUND(C20*$C$18+D20*$D$18,0)</f>
        <v>11370</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41670</v>
      </c>
      <c r="D21" s="149">
        <f ca="1">SUMIF(INDIRECT("'"&amp;D4&amp;"'"&amp;"!A:A"),结果表!B21,INDIRECT("'"&amp;D4&amp;"'"&amp;"!B:B"))</f>
        <v>37324</v>
      </c>
      <c r="E21" s="272"/>
      <c r="F21" s="278" t="s">
        <v>327</v>
      </c>
      <c r="G21" s="280">
        <f ca="1">ROUND(C21*$C$18+D21*$D$18,0)</f>
        <v>39497</v>
      </c>
      <c r="H21" s="1168" t="s">
        <v>326</v>
      </c>
      <c r="I21" s="309"/>
      <c r="J21" s="1865"/>
      <c r="K21" s="1865"/>
      <c r="L21" s="1865"/>
      <c r="M21" s="1865"/>
      <c r="N21" s="1865"/>
      <c r="O21" s="1865"/>
      <c r="P21" s="1865"/>
      <c r="Q21" s="1865"/>
      <c r="R21" s="1865"/>
      <c r="S21" s="1865"/>
      <c r="T21" s="1865"/>
      <c r="U21" s="1865"/>
      <c r="V21" s="1865"/>
    </row>
    <row r="22" spans="1:26" ht="15.75" thickBot="1">
      <c r="A22" s="126" t="s">
        <v>328</v>
      </c>
      <c r="B22" s="1169"/>
      <c r="C22" s="1170"/>
      <c r="D22" s="281">
        <f ca="1">IF(C19&lt;D19,D19/C19-1,C19/D19-1)</f>
        <v>0.11643019648397113</v>
      </c>
      <c r="E22" s="282"/>
      <c r="F22" s="283"/>
      <c r="G22" s="284">
        <f ca="1">ROUND(G19/('数据-汇总表'!D3/666.67),0)</f>
        <v>2633</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658"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659"/>
      <c r="B25" s="1238" t="s">
        <v>331</v>
      </c>
      <c r="C25" s="288">
        <f>IF(B30=0,0,C30)</f>
        <v>0</v>
      </c>
      <c r="D25" s="289"/>
      <c r="E25" s="309"/>
      <c r="F25" s="309"/>
      <c r="G25" s="309"/>
      <c r="H25" s="309"/>
      <c r="I25" s="309"/>
      <c r="J25" s="1865"/>
      <c r="K25" s="1172" t="str">
        <f ca="1">项目基本情况!B16&amp;"国有建设用地使用权价格："&amp;O38&amp;"万元"</f>
        <v>出让国有建设用地使用权价格：255824万元</v>
      </c>
      <c r="L25" s="1173"/>
      <c r="M25" s="1173"/>
      <c r="N25" s="1173"/>
      <c r="O25" s="1174"/>
      <c r="P25" s="1865"/>
      <c r="Q25" s="1865"/>
      <c r="R25" s="1865"/>
      <c r="S25" s="1865"/>
      <c r="T25" s="1865"/>
      <c r="U25" s="1865"/>
      <c r="V25" s="1865"/>
    </row>
    <row r="26" spans="1:26" s="1171" customFormat="1" ht="18">
      <c r="A26" s="291" t="s">
        <v>332</v>
      </c>
      <c r="B26" s="292" t="s">
        <v>333</v>
      </c>
      <c r="C26" s="292" t="s">
        <v>334</v>
      </c>
      <c r="D26" s="293" t="s">
        <v>335</v>
      </c>
      <c r="E26" s="309"/>
      <c r="F26" s="309"/>
      <c r="G26" s="309"/>
      <c r="H26" s="309"/>
      <c r="I26" s="309"/>
      <c r="J26" s="1865"/>
      <c r="K26" s="1175" t="str">
        <f ca="1">"大写金额：人民币"&amp;NUMBERSTRING(INT(O38*10000),2)&amp;"元整"</f>
        <v>大写金额：人民币贰拾伍亿伍仟捌佰贰拾肆万元整</v>
      </c>
      <c r="L26" s="1169"/>
      <c r="M26" s="1169"/>
      <c r="N26" s="1169"/>
      <c r="O26" s="1168"/>
      <c r="P26" s="1865"/>
      <c r="Q26" s="1865"/>
      <c r="R26" s="1865"/>
      <c r="S26" s="1865"/>
      <c r="T26" s="1865"/>
      <c r="U26" s="1865"/>
      <c r="V26" s="1865"/>
      <c r="W26" s="290"/>
      <c r="X26" s="290"/>
      <c r="Y26" s="290"/>
      <c r="Z26" s="290"/>
    </row>
    <row r="27" spans="1:26" ht="18">
      <c r="A27" s="291"/>
      <c r="B27" s="292"/>
      <c r="C27" s="292"/>
      <c r="D27" s="293"/>
      <c r="E27" s="309"/>
      <c r="F27" s="309"/>
      <c r="G27" s="309"/>
      <c r="H27" s="309"/>
      <c r="I27" s="309"/>
      <c r="J27" s="1865"/>
      <c r="K27" s="1175" t="str">
        <f ca="1">"单位面积地价："&amp;M38&amp;"元/平方米"</f>
        <v>单位面积地价：39497元/平方米</v>
      </c>
      <c r="L27" s="1169"/>
      <c r="M27" s="1169"/>
      <c r="N27" s="1169"/>
      <c r="O27" s="1168"/>
      <c r="P27" s="1865"/>
      <c r="Q27" s="1865"/>
      <c r="R27" s="1865"/>
      <c r="S27" s="1865"/>
      <c r="T27" s="1865"/>
      <c r="U27" s="1865"/>
      <c r="V27" s="1865"/>
    </row>
    <row r="28" spans="1:26" ht="18.75" customHeight="1">
      <c r="A28" s="291"/>
      <c r="B28" s="292"/>
      <c r="C28" s="292"/>
      <c r="D28" s="293"/>
      <c r="E28" s="309"/>
      <c r="F28" s="309"/>
      <c r="G28" s="309"/>
      <c r="H28" s="309"/>
      <c r="I28" s="309"/>
      <c r="J28" s="1865"/>
      <c r="K28" s="1175" t="str">
        <f ca="1">"楼面地价："&amp;N38&amp;"元/平方米"</f>
        <v>楼面地价：11370元/平方米</v>
      </c>
      <c r="L28" s="1169"/>
      <c r="M28" s="1169"/>
      <c r="N28" s="1169"/>
      <c r="O28" s="1168"/>
      <c r="P28" s="1865"/>
      <c r="V28" s="1865"/>
    </row>
    <row r="29" spans="1:26" ht="18">
      <c r="A29" s="291"/>
      <c r="B29" s="292"/>
      <c r="C29" s="292"/>
      <c r="D29" s="293"/>
      <c r="E29" s="309"/>
      <c r="F29" s="309"/>
      <c r="G29" s="309"/>
      <c r="H29" s="309"/>
      <c r="I29" s="309"/>
      <c r="J29" s="1865"/>
      <c r="K29" s="1175" t="str">
        <f ca="1">IF(OR(项目基本情况!E8="抵押价格",项目基本情况!E8="已注销及未注销"),"抵押价格："&amp;O39&amp;"万元","——")</f>
        <v>抵押价格：255824万元</v>
      </c>
      <c r="L29" s="1169"/>
      <c r="M29" s="1169"/>
      <c r="N29" s="1169"/>
      <c r="O29" s="1168"/>
      <c r="P29" s="1865"/>
      <c r="V29" s="1865"/>
    </row>
    <row r="30" spans="1:26" ht="18.75" thickBot="1">
      <c r="A30" s="2718" t="s">
        <v>336</v>
      </c>
      <c r="B30" s="307"/>
      <c r="C30" s="307"/>
      <c r="D30" s="308"/>
      <c r="E30" s="2911" t="s">
        <v>2694</v>
      </c>
      <c r="F30" s="309"/>
      <c r="G30" s="309"/>
      <c r="H30" s="309"/>
      <c r="I30" s="309"/>
      <c r="J30" s="1865"/>
      <c r="K30" s="1175" t="str">
        <f ca="1">IF(K29="——","——","大写金额：人民币"&amp;NUMBERSTRING(INT(O39*10000),2)&amp;"元整")</f>
        <v>大写金额：人民币贰拾伍亿伍仟捌佰贰拾肆万元整</v>
      </c>
      <c r="L30" s="1169"/>
      <c r="M30" s="1169"/>
      <c r="N30" s="1169"/>
      <c r="O30" s="1168"/>
      <c r="P30" s="1865"/>
      <c r="V30" s="1865"/>
    </row>
    <row r="31" spans="1:26" ht="24" customHeight="1" thickBot="1">
      <c r="A31" s="3686" t="s">
        <v>2695</v>
      </c>
      <c r="B31" s="3686"/>
      <c r="C31" s="3686"/>
      <c r="D31" s="3686"/>
      <c r="E31" s="3686"/>
      <c r="F31" s="3686"/>
      <c r="G31" s="3686"/>
      <c r="H31" s="3686"/>
      <c r="I31" s="3686"/>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255824</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8" t="s">
        <v>1490</v>
      </c>
      <c r="C33" s="262">
        <f ca="1">ROUND(C32*10000/'数据-汇总表'!E3,0)</f>
        <v>11370</v>
      </c>
      <c r="D33" s="1289" t="s">
        <v>1491</v>
      </c>
      <c r="E33" s="3658" t="s">
        <v>338</v>
      </c>
      <c r="F33" s="294" t="s">
        <v>339</v>
      </c>
      <c r="G33" s="295"/>
      <c r="H33" s="950"/>
      <c r="I33" s="1176"/>
      <c r="J33" s="1865"/>
      <c r="K33" s="1175" t="str">
        <f>IF(项目基本情况!E9="——","——","抵押净值："&amp;C46&amp;"万元")</f>
        <v>抵押净值：——万元</v>
      </c>
      <c r="L33" s="1169"/>
      <c r="M33" s="1169"/>
      <c r="N33" s="1169"/>
      <c r="O33" s="1168"/>
      <c r="P33" s="1865"/>
      <c r="V33" s="1865"/>
    </row>
    <row r="34" spans="1:26" s="1171" customFormat="1" ht="18.75" thickBot="1">
      <c r="A34" s="298"/>
      <c r="B34" s="1290" t="s">
        <v>1492</v>
      </c>
      <c r="C34" s="262">
        <f ca="1">ROUND(C32*10000/'数据-汇总表'!D3,0)</f>
        <v>39497</v>
      </c>
      <c r="D34" s="1291" t="s">
        <v>1491</v>
      </c>
      <c r="E34" s="3702"/>
      <c r="F34" s="127" t="s">
        <v>341</v>
      </c>
      <c r="G34" s="297"/>
      <c r="H34" s="105"/>
      <c r="I34" s="309"/>
      <c r="J34" s="1865"/>
      <c r="K34" s="1178" t="e">
        <f>IF(K33="——","——","大写金额：人民币"&amp;NUMBERSTRING(INT(O41*10000),2)&amp;"元整")</f>
        <v>#VALUE!</v>
      </c>
      <c r="L34" s="1179"/>
      <c r="M34" s="1179"/>
      <c r="N34" s="1179"/>
      <c r="O34" s="1180"/>
      <c r="P34" s="1865"/>
      <c r="Q34" s="290"/>
      <c r="R34" s="290"/>
      <c r="S34" s="290"/>
      <c r="T34" s="290"/>
      <c r="U34" s="290"/>
      <c r="V34" s="1865"/>
      <c r="W34" s="290"/>
      <c r="X34" s="290"/>
      <c r="Y34" s="290"/>
      <c r="Z34" s="290"/>
    </row>
    <row r="35" spans="1:26" ht="15.75" thickBot="1">
      <c r="A35" s="282"/>
      <c r="B35" s="1292"/>
      <c r="C35" s="1293">
        <f ca="1">ROUND(C32/('数据-汇总表'!D3/666.67),0)</f>
        <v>2633</v>
      </c>
      <c r="D35" s="1294" t="s">
        <v>1493</v>
      </c>
      <c r="E35" s="3703"/>
      <c r="F35" s="299" t="s">
        <v>342</v>
      </c>
      <c r="G35" s="952"/>
      <c r="H35" s="951" t="s">
        <v>343</v>
      </c>
      <c r="I35" s="309"/>
      <c r="J35" s="1865"/>
      <c r="K35" s="3676" t="s">
        <v>350</v>
      </c>
      <c r="L35" s="3676" t="s">
        <v>351</v>
      </c>
      <c r="M35" s="1181" t="s">
        <v>352</v>
      </c>
      <c r="N35" s="3676" t="s">
        <v>353</v>
      </c>
      <c r="O35" s="3676" t="s">
        <v>354</v>
      </c>
      <c r="P35" s="1865"/>
      <c r="V35" s="1865"/>
    </row>
    <row r="36" spans="1:26" ht="16.5" customHeight="1">
      <c r="A36" s="301" t="s">
        <v>344</v>
      </c>
      <c r="B36" s="302" t="s">
        <v>333</v>
      </c>
      <c r="C36" s="303" t="s">
        <v>345</v>
      </c>
      <c r="D36" s="303" t="s">
        <v>346</v>
      </c>
      <c r="E36" s="304" t="s">
        <v>347</v>
      </c>
      <c r="F36" s="309"/>
      <c r="G36" s="309"/>
      <c r="H36" s="309"/>
      <c r="I36" s="309"/>
      <c r="J36" s="1867"/>
      <c r="K36" s="3677"/>
      <c r="L36" s="3677"/>
      <c r="M36" s="1183" t="s">
        <v>355</v>
      </c>
      <c r="N36" s="3677"/>
      <c r="O36" s="3677"/>
      <c r="P36" s="1865"/>
      <c r="V36" s="1865"/>
    </row>
    <row r="37" spans="1:26" ht="16.5" customHeight="1" thickBot="1">
      <c r="A37" s="1177" t="s">
        <v>348</v>
      </c>
      <c r="B37" s="305"/>
      <c r="C37" s="292"/>
      <c r="D37" s="292"/>
      <c r="E37" s="293"/>
      <c r="F37" s="309"/>
      <c r="G37" s="309"/>
      <c r="H37" s="309"/>
      <c r="I37" s="309"/>
      <c r="J37" s="1867"/>
      <c r="K37" s="3678"/>
      <c r="L37" s="3678"/>
      <c r="M37" s="1184"/>
      <c r="N37" s="3678"/>
      <c r="O37" s="3678"/>
      <c r="P37" s="1865"/>
      <c r="V37" s="1865"/>
    </row>
    <row r="38" spans="1:26" ht="16.5" customHeight="1" thickBot="1">
      <c r="A38" s="1177" t="s">
        <v>349</v>
      </c>
      <c r="B38" s="305"/>
      <c r="C38" s="292"/>
      <c r="D38" s="292"/>
      <c r="E38" s="293"/>
      <c r="F38" s="309"/>
      <c r="G38" s="309"/>
      <c r="H38" s="309"/>
      <c r="I38" s="309"/>
      <c r="J38" s="1867"/>
      <c r="K38" s="1185">
        <f>'数据-汇总表'!D3</f>
        <v>64770.31</v>
      </c>
      <c r="L38" s="1186">
        <f>'数据-汇总表'!E3</f>
        <v>225000.80999999997</v>
      </c>
      <c r="M38" s="1186">
        <f ca="1">C34</f>
        <v>39497</v>
      </c>
      <c r="N38" s="1186">
        <f ca="1">C33</f>
        <v>11370</v>
      </c>
      <c r="O38" s="1187">
        <f ca="1">C32</f>
        <v>255824</v>
      </c>
      <c r="P38" s="1865"/>
      <c r="V38" s="1865"/>
    </row>
    <row r="39" spans="1:26" ht="16.5" customHeight="1" thickBot="1">
      <c r="A39" s="1182"/>
      <c r="B39" s="306"/>
      <c r="C39" s="307"/>
      <c r="D39" s="307"/>
      <c r="E39" s="308"/>
      <c r="F39" s="309"/>
      <c r="G39" s="309"/>
      <c r="H39" s="309"/>
      <c r="I39" s="309"/>
      <c r="J39" s="1867"/>
      <c r="K39" s="3716" t="str">
        <f>MID(A44,3,LEN(A44)-2)</f>
        <v>抵押价格</v>
      </c>
      <c r="L39" s="3717"/>
      <c r="M39" s="3717"/>
      <c r="N39" s="3718"/>
      <c r="O39" s="1296">
        <f ca="1">C44</f>
        <v>255824</v>
      </c>
      <c r="P39" s="1865"/>
      <c r="V39" s="1865"/>
    </row>
    <row r="40" spans="1:26" ht="19.5" thickBot="1">
      <c r="A40" s="104" t="s">
        <v>852</v>
      </c>
      <c r="B40" s="309"/>
      <c r="C40" s="309"/>
      <c r="D40" s="309"/>
      <c r="E40" s="309"/>
      <c r="F40" s="309"/>
      <c r="G40" s="309"/>
      <c r="H40" s="309"/>
      <c r="I40" s="309"/>
      <c r="J40" s="1867"/>
      <c r="K40" s="3716" t="str">
        <f t="shared" ref="K40:K41" si="0">MID(A45,3,LEN(A45)-2)</f>
        <v/>
      </c>
      <c r="L40" s="3717"/>
      <c r="M40" s="3717"/>
      <c r="N40" s="3718"/>
      <c r="O40" s="1296" t="str">
        <f>C45</f>
        <v>——</v>
      </c>
      <c r="P40" s="1865"/>
      <c r="V40" s="1865"/>
    </row>
    <row r="41" spans="1:26" ht="16.5" thickBot="1">
      <c r="A41" s="310" t="s">
        <v>356</v>
      </c>
      <c r="B41" s="311"/>
      <c r="C41" s="312" t="s">
        <v>357</v>
      </c>
      <c r="D41" s="313" t="s">
        <v>358</v>
      </c>
      <c r="E41" s="313" t="s">
        <v>359</v>
      </c>
      <c r="F41" s="314" t="s">
        <v>360</v>
      </c>
      <c r="G41" s="309"/>
      <c r="H41" s="309"/>
      <c r="I41" s="309"/>
      <c r="J41" s="1867"/>
      <c r="K41" s="3716" t="str">
        <f t="shared" si="0"/>
        <v/>
      </c>
      <c r="L41" s="3717"/>
      <c r="M41" s="3717"/>
      <c r="N41" s="3718"/>
      <c r="O41" s="1296" t="str">
        <f>C46</f>
        <v>——</v>
      </c>
      <c r="P41" s="1865"/>
      <c r="V41" s="1865"/>
    </row>
    <row r="42" spans="1:26" ht="29.25">
      <c r="A42" s="3660" t="s">
        <v>1859</v>
      </c>
      <c r="B42" s="3661"/>
      <c r="C42" s="262">
        <f ca="1">C32</f>
        <v>255824</v>
      </c>
      <c r="D42" s="315">
        <f ca="1">C33</f>
        <v>11370</v>
      </c>
      <c r="E42" s="315">
        <f ca="1">C34</f>
        <v>39497</v>
      </c>
      <c r="F42" s="316">
        <f ca="1">C35</f>
        <v>2633</v>
      </c>
      <c r="G42" s="309"/>
      <c r="H42" s="309"/>
      <c r="I42" s="317"/>
      <c r="J42" s="1867"/>
      <c r="K42" s="1188" t="s">
        <v>361</v>
      </c>
      <c r="L42" s="1884" t="s">
        <v>362</v>
      </c>
      <c r="M42" s="1189" t="s">
        <v>363</v>
      </c>
      <c r="N42" s="1885" t="s">
        <v>364</v>
      </c>
      <c r="O42" s="1886" t="s">
        <v>365</v>
      </c>
      <c r="P42" s="1865"/>
      <c r="V42" s="1865"/>
    </row>
    <row r="43" spans="1:26" ht="30">
      <c r="A43" s="3671" t="s">
        <v>2446</v>
      </c>
      <c r="B43" s="3672"/>
      <c r="C43" s="262">
        <f>IF(H33="正常操作",G33+G34+G35,G34+G35)</f>
        <v>0</v>
      </c>
      <c r="D43" s="315" t="s">
        <v>43</v>
      </c>
      <c r="E43" s="315" t="s">
        <v>44</v>
      </c>
      <c r="F43" s="316" t="s">
        <v>44</v>
      </c>
      <c r="G43" s="2505" t="s">
        <v>931</v>
      </c>
      <c r="H43" s="309"/>
      <c r="I43" s="317"/>
      <c r="J43" s="1867"/>
      <c r="K43" s="1190" t="str">
        <f>C4</f>
        <v>比较法-住宅、综合</v>
      </c>
      <c r="L43" s="1191">
        <f ca="1">IF(L42="估价结果/万元",C19,C20)</f>
        <v>269897</v>
      </c>
      <c r="M43" s="1192">
        <f>C18</f>
        <v>0.5</v>
      </c>
      <c r="N43" s="1193">
        <f ca="1">IF(N42="测算结果/万元",G19,G20)</f>
        <v>255824</v>
      </c>
      <c r="O43" s="1194">
        <f ca="1">IF(O42="最终结果/万元",C32,C33)</f>
        <v>255824</v>
      </c>
      <c r="P43" s="1865"/>
      <c r="V43" s="1865"/>
    </row>
    <row r="44" spans="1:26" ht="30.75" thickBot="1">
      <c r="A44" s="3660" t="str">
        <f>IF(OR(项目基本情况!E8="抵押价格",项目基本情况!E8="已注销及未注销"),"3.抵押价格","——")</f>
        <v>3.抵押价格</v>
      </c>
      <c r="B44" s="3661"/>
      <c r="C44" s="262">
        <f ca="1">IF(A44="——","——",C42-C43)</f>
        <v>255824</v>
      </c>
      <c r="D44" s="315">
        <f ca="1">ROUND(C44*10000/'数据-汇总表'!E3,0)</f>
        <v>11370</v>
      </c>
      <c r="E44" s="315">
        <f ca="1">ROUND(C44*10000/'数据-汇总表'!D3,0)</f>
        <v>39497</v>
      </c>
      <c r="F44" s="316">
        <f ca="1">ROUND(C44/('数据-汇总表'!D3/666.67),0)</f>
        <v>2633</v>
      </c>
      <c r="G44" s="309"/>
      <c r="H44" s="309"/>
      <c r="I44" s="317"/>
      <c r="J44" s="1867"/>
      <c r="K44" s="1195" t="str">
        <f>D4</f>
        <v>剩余法-待开发</v>
      </c>
      <c r="L44" s="1196">
        <f ca="1">IF(L42="估价结果/万元",D19,D20)</f>
        <v>241750</v>
      </c>
      <c r="M44" s="1197">
        <f>D18</f>
        <v>0.5</v>
      </c>
      <c r="N44" s="1198"/>
      <c r="O44" s="1199"/>
      <c r="P44" s="1865"/>
      <c r="V44" s="1865"/>
    </row>
    <row r="45" spans="1:26" ht="15">
      <c r="A45" s="3666" t="str">
        <f>IF(项目基本情况!E8="已注销及未注销","4.抵押担保权已注销时的抵押价格",IF(项目基本情况!E8="已注销","3.抵押担保权已注销时的抵押价格","——"))</f>
        <v>——</v>
      </c>
      <c r="B45" s="3667"/>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662" t="str">
        <f>IF(项目基本情况!E9="抵押净值",IF(A45="——","4.抵押净值","5.抵押净值"),"——")</f>
        <v>——</v>
      </c>
      <c r="B46" s="3663"/>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710" t="s">
        <v>374</v>
      </c>
      <c r="B63" s="3711"/>
      <c r="C63" s="3712"/>
      <c r="D63" s="339">
        <f ca="1">ROUND(C42*F63,0)</f>
        <v>255824</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68" t="s">
        <v>378</v>
      </c>
      <c r="B64" s="3669"/>
      <c r="C64" s="3669"/>
      <c r="D64" s="3669"/>
      <c r="E64" s="3669"/>
      <c r="F64" s="3669"/>
      <c r="G64" s="3670"/>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5.5">
      <c r="A66" s="3664" t="s">
        <v>386</v>
      </c>
      <c r="B66" s="3665"/>
      <c r="C66" s="3665"/>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05"/>
      <c r="J66" s="1871"/>
      <c r="K66" s="1208">
        <v>1</v>
      </c>
      <c r="L66" s="3725" t="s">
        <v>385</v>
      </c>
      <c r="M66" s="3726"/>
      <c r="N66" s="2266"/>
      <c r="O66" s="2267"/>
      <c r="P66" s="2268"/>
      <c r="Q66" s="1865"/>
      <c r="R66" s="1865"/>
      <c r="S66" s="1865"/>
      <c r="T66" s="1865"/>
      <c r="U66" s="1865"/>
      <c r="V66" s="1865"/>
    </row>
    <row r="67" spans="1:22" ht="25.5" customHeight="1">
      <c r="A67" s="350" t="s">
        <v>389</v>
      </c>
      <c r="B67" s="3655" t="s">
        <v>390</v>
      </c>
      <c r="C67" s="3655"/>
      <c r="D67" s="351">
        <v>0</v>
      </c>
      <c r="E67" s="41" t="s">
        <v>391</v>
      </c>
      <c r="F67" s="62" t="s">
        <v>21</v>
      </c>
      <c r="G67" s="3713"/>
      <c r="H67" s="2914" t="s">
        <v>2696</v>
      </c>
      <c r="I67" s="2916"/>
      <c r="J67" s="1872"/>
      <c r="K67" s="1844">
        <v>2</v>
      </c>
      <c r="L67" s="3719" t="s">
        <v>388</v>
      </c>
      <c r="M67" s="3719"/>
      <c r="N67" s="1242">
        <f>'数据-取费表'!B2</f>
        <v>44747</v>
      </c>
      <c r="O67" s="1242"/>
      <c r="P67" s="1242"/>
      <c r="Q67" s="1865"/>
      <c r="R67" s="1865"/>
      <c r="S67" s="1865"/>
      <c r="T67" s="1865"/>
      <c r="U67" s="1865"/>
      <c r="V67" s="1865"/>
    </row>
    <row r="68" spans="1:22" ht="25.5" customHeight="1">
      <c r="A68" s="352"/>
      <c r="B68" s="3655" t="s">
        <v>393</v>
      </c>
      <c r="C68" s="3655"/>
      <c r="D68" s="353"/>
      <c r="E68" s="77"/>
      <c r="F68" s="354"/>
      <c r="G68" s="3714"/>
      <c r="H68" s="2915" t="s">
        <v>2697</v>
      </c>
      <c r="I68" s="2916"/>
      <c r="J68" s="1872"/>
      <c r="K68" s="1844">
        <v>3</v>
      </c>
      <c r="L68" s="3719" t="s">
        <v>392</v>
      </c>
      <c r="M68" s="3719"/>
      <c r="N68" s="1210">
        <f ca="1">C42</f>
        <v>255824</v>
      </c>
      <c r="O68" s="1210"/>
      <c r="P68" s="1210"/>
      <c r="Q68" s="1865"/>
      <c r="R68" s="1865"/>
      <c r="S68" s="1865"/>
      <c r="T68" s="1865"/>
      <c r="U68" s="1865"/>
      <c r="V68" s="1865"/>
    </row>
    <row r="69" spans="1:22" ht="23.45" customHeight="1">
      <c r="A69" s="355"/>
      <c r="B69" s="3655" t="s">
        <v>394</v>
      </c>
      <c r="C69" s="3655"/>
      <c r="D69" s="356"/>
      <c r="E69" s="73"/>
      <c r="F69" s="354"/>
      <c r="G69" s="3715"/>
      <c r="H69" s="2915" t="s">
        <v>2698</v>
      </c>
      <c r="I69" s="2916"/>
      <c r="J69" s="1872"/>
      <c r="K69" s="1211">
        <v>4</v>
      </c>
      <c r="L69" s="3729" t="s">
        <v>2595</v>
      </c>
      <c r="M69" s="3730"/>
      <c r="N69" s="1212">
        <f ca="1">C44</f>
        <v>255824</v>
      </c>
      <c r="O69" s="1212"/>
      <c r="P69" s="1212"/>
      <c r="Q69" s="1865"/>
      <c r="R69" s="1865"/>
      <c r="S69" s="1865"/>
      <c r="T69" s="1865"/>
      <c r="U69" s="1865"/>
      <c r="V69" s="1865"/>
    </row>
    <row r="70" spans="1:22" ht="24" customHeight="1">
      <c r="A70" s="357" t="s">
        <v>395</v>
      </c>
      <c r="B70" s="3655" t="s">
        <v>396</v>
      </c>
      <c r="C70" s="3655"/>
      <c r="D70" s="356">
        <f ca="1">ROUND(D63*'数据-取费表'!B41/(1+'数据-取费表'!C42),0)</f>
        <v>13644</v>
      </c>
      <c r="E70" s="17" t="s">
        <v>397</v>
      </c>
      <c r="F70" s="358">
        <f>'数据-取费表'!B41</f>
        <v>5.6000000000000001E-2</v>
      </c>
      <c r="G70" s="359"/>
      <c r="H70" s="309"/>
      <c r="I70" s="1209"/>
      <c r="J70" s="1872"/>
      <c r="K70" s="2683"/>
      <c r="L70" s="2684"/>
      <c r="M70" s="2684"/>
      <c r="N70" s="2685" t="s">
        <v>2599</v>
      </c>
      <c r="O70" s="2684"/>
      <c r="P70" s="2686"/>
      <c r="Q70" s="1865"/>
      <c r="R70" s="1865"/>
      <c r="S70" s="1865"/>
      <c r="T70" s="1865"/>
      <c r="U70" s="1865"/>
      <c r="V70" s="1865"/>
    </row>
    <row r="71" spans="1:22" ht="12" customHeight="1">
      <c r="A71" s="357" t="s">
        <v>403</v>
      </c>
      <c r="B71" s="3656" t="s">
        <v>2726</v>
      </c>
      <c r="C71" s="3657"/>
      <c r="D71" s="356">
        <f ca="1">ROUND(D63*'数据-取费表'!B41/(1+'数据-取费表'!C42),0)</f>
        <v>13644</v>
      </c>
      <c r="E71" s="17" t="s">
        <v>397</v>
      </c>
      <c r="F71" s="358">
        <f>'数据-取费表'!B41</f>
        <v>5.6000000000000001E-2</v>
      </c>
      <c r="G71" s="359"/>
      <c r="H71" s="309"/>
      <c r="I71" s="1209"/>
      <c r="J71" s="1872"/>
      <c r="K71" s="2682" t="s">
        <v>398</v>
      </c>
      <c r="L71" s="3731" t="s">
        <v>399</v>
      </c>
      <c r="M71" s="3731"/>
      <c r="N71" s="2682" t="s">
        <v>400</v>
      </c>
      <c r="O71" s="2682" t="s">
        <v>401</v>
      </c>
      <c r="P71" s="2682" t="s">
        <v>402</v>
      </c>
      <c r="Q71" s="1865"/>
      <c r="R71" s="1865"/>
      <c r="S71" s="1865"/>
      <c r="T71" s="1865"/>
      <c r="U71" s="1865"/>
      <c r="V71" s="1865"/>
    </row>
    <row r="72" spans="1:22" ht="12" customHeight="1">
      <c r="A72" s="357" t="s">
        <v>405</v>
      </c>
      <c r="B72" s="3656" t="s">
        <v>2727</v>
      </c>
      <c r="C72" s="3657"/>
      <c r="D72" s="356">
        <f ca="1">C86</f>
        <v>13644</v>
      </c>
      <c r="E72" s="73" t="s">
        <v>406</v>
      </c>
      <c r="F72" s="358">
        <f>'数据-取费表'!B41</f>
        <v>5.6000000000000001E-2</v>
      </c>
      <c r="G72" s="359"/>
      <c r="H72" s="1215"/>
      <c r="I72" s="1209"/>
      <c r="J72" s="1872"/>
      <c r="K72" s="1844">
        <v>1</v>
      </c>
      <c r="L72" s="3706" t="s">
        <v>404</v>
      </c>
      <c r="M72" s="3706"/>
      <c r="N72" s="1213" t="b">
        <f>D66</f>
        <v>0</v>
      </c>
      <c r="O72" s="1728" t="str">
        <f>E66</f>
        <v>销售额×税（费）率</v>
      </c>
      <c r="P72" s="1214">
        <f>F66</f>
        <v>5.6000000000000001E-2</v>
      </c>
      <c r="Q72" s="1865"/>
      <c r="R72" s="1865"/>
      <c r="S72" s="1865"/>
      <c r="T72" s="1865"/>
      <c r="U72" s="1865"/>
      <c r="V72" s="1865"/>
    </row>
    <row r="73" spans="1:22" ht="24" customHeight="1">
      <c r="A73" s="3701" t="s">
        <v>408</v>
      </c>
      <c r="B73" s="3665"/>
      <c r="C73" s="3665"/>
      <c r="D73" s="360">
        <f ca="1">IF(H73="个人住宅",0,ROUND(D63*I73,0))</f>
        <v>128</v>
      </c>
      <c r="E73" s="17" t="s">
        <v>409</v>
      </c>
      <c r="F73" s="358" t="str">
        <f>IF(H73="正常",I73,"免征")</f>
        <v>免征</v>
      </c>
      <c r="G73" s="359"/>
      <c r="H73" s="189"/>
      <c r="I73" s="358">
        <f>'数据-取费表'!B49</f>
        <v>5.0000000000000001E-4</v>
      </c>
      <c r="J73" s="1872"/>
      <c r="K73" s="1844">
        <v>2</v>
      </c>
      <c r="L73" s="3706" t="s">
        <v>407</v>
      </c>
      <c r="M73" s="3706"/>
      <c r="N73" s="1213">
        <f t="shared" ref="N73:P74" ca="1" si="1">D73</f>
        <v>128</v>
      </c>
      <c r="O73" s="1728" t="str">
        <f t="shared" si="1"/>
        <v>销售额×税（费）率</v>
      </c>
      <c r="P73" s="1214" t="str">
        <f t="shared" si="1"/>
        <v>免征</v>
      </c>
      <c r="Q73" s="1865"/>
      <c r="R73" s="1865"/>
      <c r="S73" s="1865"/>
      <c r="T73" s="1865"/>
      <c r="U73" s="1865"/>
      <c r="V73" s="1865"/>
    </row>
    <row r="74" spans="1:22" ht="24.75">
      <c r="A74" s="3701" t="s">
        <v>411</v>
      </c>
      <c r="B74" s="3665"/>
      <c r="C74" s="3665"/>
      <c r="D74" s="360">
        <f ca="1">IF(H74="个人住宅",D75,D76)</f>
        <v>144796</v>
      </c>
      <c r="E74" s="17" t="s">
        <v>412</v>
      </c>
      <c r="F74" s="358" t="str">
        <f>IF(H74="正常",F76,"免征")</f>
        <v>免征</v>
      </c>
      <c r="G74" s="953" t="s">
        <v>413</v>
      </c>
      <c r="H74" s="361"/>
      <c r="I74" s="42"/>
      <c r="J74" s="1872"/>
      <c r="K74" s="1844">
        <v>3</v>
      </c>
      <c r="L74" s="3706" t="s">
        <v>410</v>
      </c>
      <c r="M74" s="3706"/>
      <c r="N74" s="1213">
        <f t="shared" ca="1" si="1"/>
        <v>144796</v>
      </c>
      <c r="O74" s="1728" t="str">
        <f t="shared" si="1"/>
        <v>增值额×税（费）率</v>
      </c>
      <c r="P74" s="1216" t="str">
        <f t="shared" si="1"/>
        <v>免征</v>
      </c>
      <c r="Q74" s="1865"/>
      <c r="R74" s="1865"/>
      <c r="S74" s="1865"/>
      <c r="T74" s="1865"/>
      <c r="U74" s="1865"/>
      <c r="V74" s="1865"/>
    </row>
    <row r="75" spans="1:22" ht="12.75">
      <c r="A75" s="357" t="s">
        <v>414</v>
      </c>
      <c r="B75" s="3653" t="s">
        <v>415</v>
      </c>
      <c r="C75" s="3689"/>
      <c r="D75" s="362">
        <v>0</v>
      </c>
      <c r="E75" s="41" t="s">
        <v>416</v>
      </c>
      <c r="F75" s="363"/>
      <c r="G75" s="359"/>
      <c r="H75" s="42"/>
      <c r="I75" s="42"/>
      <c r="J75" s="1872"/>
      <c r="K75" s="2676">
        <f>IF(H77="非个人房产","",4)</f>
        <v>4</v>
      </c>
      <c r="L75" s="3706" t="str">
        <f>IF(H77="非个人房产","——","个人所得税")</f>
        <v>个人所得税</v>
      </c>
      <c r="M75" s="3706"/>
      <c r="N75" s="1217">
        <f>D77</f>
        <v>0</v>
      </c>
      <c r="O75" s="1741" t="str">
        <f>E77</f>
        <v>差额计税</v>
      </c>
      <c r="P75" s="1218">
        <f>F77</f>
        <v>0.01</v>
      </c>
      <c r="Q75" s="1865"/>
      <c r="R75" s="1865"/>
      <c r="S75" s="1865"/>
      <c r="T75" s="1865"/>
      <c r="U75" s="1865"/>
      <c r="V75" s="1865"/>
    </row>
    <row r="76" spans="1:22" ht="24.75">
      <c r="A76" s="357" t="s">
        <v>395</v>
      </c>
      <c r="B76" s="3653" t="s">
        <v>418</v>
      </c>
      <c r="C76" s="3654"/>
      <c r="D76" s="360">
        <f ca="1">IF(H76="转让取得",C99,C115)</f>
        <v>144796</v>
      </c>
      <c r="E76" s="17" t="s">
        <v>419</v>
      </c>
      <c r="F76" s="53" t="s">
        <v>21</v>
      </c>
      <c r="G76" s="359"/>
      <c r="H76" s="361"/>
      <c r="I76" s="42"/>
      <c r="J76" s="1872"/>
      <c r="K76" s="2676" t="str">
        <f>IF(项目基本情况!K6="上海银行",IF(K75="",4,K75+1),"")</f>
        <v/>
      </c>
      <c r="L76" s="3721" t="str">
        <f>IF(项目基本情况!K6="上海银行","其他处置费用","")</f>
        <v/>
      </c>
      <c r="M76" s="3722"/>
      <c r="N76" s="1213" t="str">
        <f>IF(项目基本情况!K6="上海银行",N89,"")</f>
        <v/>
      </c>
      <c r="O76" s="3723" t="str">
        <f>IF(项目基本情况!K6="上海银行","包含处置中涉及的律师、诉讼、拍卖、评估等费用","")</f>
        <v/>
      </c>
      <c r="P76" s="3724"/>
      <c r="Q76" s="1865"/>
      <c r="R76" s="1865"/>
      <c r="S76" s="1865"/>
      <c r="T76" s="1865"/>
      <c r="U76" s="1865"/>
      <c r="V76" s="1865"/>
    </row>
    <row r="77" spans="1:22" ht="24.75" thickBot="1">
      <c r="A77" s="3708" t="s">
        <v>421</v>
      </c>
      <c r="B77" s="3709"/>
      <c r="C77" s="3709"/>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2699</v>
      </c>
      <c r="J77" s="1872"/>
      <c r="K77" s="3707">
        <f>IF(AND(K75="",K76=""),4,IF(项目基本情况!K6="上海银行",K76+1,K75+1))</f>
        <v>5</v>
      </c>
      <c r="L77" s="3706" t="s">
        <v>2596</v>
      </c>
      <c r="M77" s="2681" t="s">
        <v>417</v>
      </c>
      <c r="N77" s="1219"/>
      <c r="O77" s="1220">
        <f ca="1">SUMIF(N72:N76,"&lt;9e307")</f>
        <v>144924</v>
      </c>
      <c r="P77" s="1221"/>
      <c r="Q77" s="2679">
        <f ca="1">O77/N69</f>
        <v>0.56649884295453123</v>
      </c>
      <c r="R77" s="1865"/>
      <c r="S77" s="1865"/>
      <c r="T77" s="1865"/>
      <c r="U77" s="1865"/>
      <c r="V77" s="1865"/>
    </row>
    <row r="78" spans="1:22" ht="12" customHeight="1">
      <c r="A78" s="1222"/>
      <c r="B78" s="309"/>
      <c r="C78" s="309"/>
      <c r="D78" s="309"/>
      <c r="E78" s="42"/>
      <c r="F78" s="42"/>
      <c r="G78" s="42"/>
      <c r="H78" s="973"/>
      <c r="I78" s="309"/>
      <c r="J78" s="1872"/>
      <c r="K78" s="3707"/>
      <c r="L78" s="3706"/>
      <c r="M78" s="2681" t="s">
        <v>420</v>
      </c>
      <c r="N78" s="1219"/>
      <c r="O78" s="1220" t="str">
        <f ca="1">NUMBERSTRING(INT(O77*10000),2)&amp;"元整"</f>
        <v>壹拾肆亿肆仟玖佰贰拾肆万元整</v>
      </c>
      <c r="P78" s="1221"/>
      <c r="Q78" s="1865"/>
      <c r="R78" s="1865"/>
      <c r="S78" s="1865"/>
      <c r="T78" s="1865"/>
      <c r="U78" s="1865"/>
      <c r="V78" s="1865"/>
    </row>
    <row r="79" spans="1:22" ht="13.5" thickBot="1">
      <c r="A79" s="3673" t="s">
        <v>422</v>
      </c>
      <c r="B79" s="3673"/>
      <c r="C79" s="3673"/>
      <c r="D79" s="3673"/>
      <c r="E79" s="3673"/>
      <c r="F79" s="42"/>
      <c r="G79" s="42"/>
      <c r="H79" s="973"/>
      <c r="I79" s="309"/>
      <c r="J79" s="1872"/>
      <c r="K79" s="3727">
        <f>K77+1</f>
        <v>6</v>
      </c>
      <c r="L79" s="3706" t="s">
        <v>2597</v>
      </c>
      <c r="M79" s="2681" t="s">
        <v>417</v>
      </c>
      <c r="N79" s="1219"/>
      <c r="O79" s="1220">
        <f ca="1">N69-O77</f>
        <v>110900</v>
      </c>
      <c r="P79" s="1221"/>
      <c r="Q79" s="1865"/>
      <c r="R79" s="1865"/>
      <c r="S79" s="1865"/>
      <c r="T79" s="1865"/>
      <c r="U79" s="1865"/>
      <c r="V79" s="1865"/>
    </row>
    <row r="80" spans="1:22" ht="25.5">
      <c r="A80" s="3674" t="s">
        <v>423</v>
      </c>
      <c r="B80" s="3675"/>
      <c r="C80" s="964"/>
      <c r="D80" s="964" t="s">
        <v>424</v>
      </c>
      <c r="E80" s="364" t="s">
        <v>425</v>
      </c>
      <c r="F80" s="42"/>
      <c r="G80" s="42"/>
      <c r="H80" s="973"/>
      <c r="I80" s="309"/>
      <c r="J80" s="1865"/>
      <c r="K80" s="3728"/>
      <c r="L80" s="3706"/>
      <c r="M80" s="2681" t="s">
        <v>420</v>
      </c>
      <c r="N80" s="1219"/>
      <c r="O80" s="1220" t="str">
        <f ca="1">NUMBERSTRING(INT(O79*10000),2)&amp;"元整"</f>
        <v>壹拾壹亿零玖佰万元整</v>
      </c>
      <c r="P80" s="1221"/>
      <c r="Q80" s="1865"/>
      <c r="R80" s="1865"/>
      <c r="S80" s="1865"/>
      <c r="T80" s="1865"/>
      <c r="U80" s="1865"/>
      <c r="V80" s="1865"/>
    </row>
    <row r="81" spans="1:26" ht="13.5" thickBot="1">
      <c r="A81" s="375" t="s">
        <v>1623</v>
      </c>
      <c r="B81" s="365" t="s">
        <v>426</v>
      </c>
      <c r="C81" s="366">
        <f ca="1">ROUND((C82+C83)/(1+'数据-取费表'!C42),0)</f>
        <v>243642</v>
      </c>
      <c r="D81" s="367"/>
      <c r="E81" s="368"/>
      <c r="F81" s="42"/>
      <c r="G81" s="42"/>
      <c r="H81" s="973"/>
      <c r="I81" s="309"/>
      <c r="J81" s="1865"/>
      <c r="K81" s="2676">
        <f>K79+1</f>
        <v>7</v>
      </c>
      <c r="L81" s="3704" t="s">
        <v>2598</v>
      </c>
      <c r="M81" s="3705"/>
      <c r="N81" s="1223"/>
      <c r="O81" s="1224">
        <f ca="1">ROUND(O79*10000/'数据-汇总表'!E3,0)</f>
        <v>4929</v>
      </c>
      <c r="P81" s="1225"/>
      <c r="Q81" s="1865"/>
      <c r="R81" s="1865"/>
      <c r="S81" s="1865"/>
      <c r="T81" s="1865"/>
      <c r="U81" s="1865"/>
      <c r="V81" s="1865"/>
    </row>
    <row r="82" spans="1:26" ht="13.5" thickTop="1">
      <c r="A82" s="369" t="s">
        <v>1624</v>
      </c>
      <c r="B82" s="370" t="s">
        <v>427</v>
      </c>
      <c r="C82" s="371">
        <f ca="1">D63</f>
        <v>255824</v>
      </c>
      <c r="D82" s="372" t="s">
        <v>19</v>
      </c>
      <c r="E82" s="373"/>
      <c r="F82" s="42"/>
      <c r="G82" s="42"/>
      <c r="H82" s="973"/>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3"/>
      <c r="I83" s="309"/>
      <c r="J83" s="1865"/>
      <c r="K83" s="3720" t="s">
        <v>2586</v>
      </c>
      <c r="L83" s="2687" t="s">
        <v>2587</v>
      </c>
      <c r="M83" s="2677">
        <f ca="1">IF(N69&gt;10000,N69*0.5%,IF(AND(N69&gt;1000,N69&lt;=10000),N69*1%,IF(AND(N69&gt;100,N69&lt;=1000),N69*3%,IF(AND(N69&gt;10,N69&lt;=100),N69*5%,N69*8%))))</f>
        <v>1279.1200000000001</v>
      </c>
      <c r="N83" s="53">
        <f ca="1">ROUND(M83,1)</f>
        <v>1279.0999999999999</v>
      </c>
      <c r="O83" s="2680"/>
      <c r="P83" s="1865"/>
      <c r="Q83" s="1865"/>
      <c r="R83" s="1865"/>
      <c r="S83" s="1865"/>
      <c r="T83" s="1865"/>
      <c r="U83" s="1865"/>
      <c r="V83" s="1865"/>
    </row>
    <row r="84" spans="1:26" ht="12.75">
      <c r="A84" s="375" t="s">
        <v>1626</v>
      </c>
      <c r="B84" s="376" t="s">
        <v>429</v>
      </c>
      <c r="C84" s="377"/>
      <c r="D84" s="378" t="s">
        <v>19</v>
      </c>
      <c r="E84" s="2705" t="s">
        <v>2640</v>
      </c>
      <c r="F84" s="42"/>
      <c r="G84" s="42"/>
      <c r="H84" s="973"/>
      <c r="I84" s="309"/>
      <c r="J84" s="1865"/>
      <c r="K84" s="3720"/>
      <c r="L84" s="2687" t="s">
        <v>2588</v>
      </c>
      <c r="M84" s="2677">
        <f ca="1">IF(N69&gt;2000,N69*0.5%,IF(AND(N69&gt;1000,N69&lt;=2000),N69*0.6%,IF(AND(N69&gt;500,N69&lt;=1000),N69*0.7%,IF(AND(N69&gt;200,N69&lt;=500),N69*0.8%,IF(AND(N69&gt;100,N69&lt;=200),N69*0.9%,IF(AND(N69&gt;50,N69&lt;=100),N69*1%,IF(AND(N69&gt;20,N69&lt;=50),N69*1.5%,IF(AND(N69&gt;10,N69&lt;=20),N69*2%,IF(AND(N69&gt;1,N69&lt;=10),N69*2.5%)))))))))</f>
        <v>1279.1200000000001</v>
      </c>
      <c r="N84" s="53">
        <f t="shared" ref="N84:N85" ca="1" si="2">ROUND(M84,1)</f>
        <v>1279.0999999999999</v>
      </c>
      <c r="O84" s="1865" t="s">
        <v>2589</v>
      </c>
      <c r="P84" s="1865"/>
      <c r="Q84" s="1865"/>
      <c r="R84" s="1865"/>
      <c r="S84" s="1865"/>
      <c r="T84" s="1865"/>
      <c r="U84" s="1865"/>
      <c r="V84" s="1865"/>
    </row>
    <row r="85" spans="1:26" ht="12.75">
      <c r="A85" s="375" t="s">
        <v>1627</v>
      </c>
      <c r="B85" s="376" t="s">
        <v>430</v>
      </c>
      <c r="C85" s="379">
        <f ca="1">C81-C84</f>
        <v>243642</v>
      </c>
      <c r="D85" s="372" t="s">
        <v>19</v>
      </c>
      <c r="E85" s="373"/>
      <c r="F85" s="42"/>
      <c r="G85" s="42"/>
      <c r="H85" s="973"/>
      <c r="I85" s="309"/>
      <c r="J85" s="1865"/>
      <c r="K85" s="3720"/>
      <c r="L85" s="2687" t="s">
        <v>2590</v>
      </c>
      <c r="M85" s="2677">
        <f ca="1">IF(N69&gt;1000,N69*0.1%,IF(AND(N69&gt;500,N69&lt;=1000),N69*0.5%,IF(AND(N69&gt;50,N69&lt;=500),N69*1%,IF(AND(N69&gt;1,N69&lt;=50),N69*1.5%))))</f>
        <v>255.82400000000001</v>
      </c>
      <c r="N85" s="53">
        <f t="shared" ca="1" si="2"/>
        <v>255.8</v>
      </c>
      <c r="O85" s="1865" t="s">
        <v>2589</v>
      </c>
      <c r="P85" s="1865"/>
      <c r="Q85" s="1865"/>
      <c r="R85" s="1865"/>
      <c r="S85" s="1865"/>
      <c r="T85" s="1865"/>
      <c r="U85" s="1865"/>
      <c r="V85" s="1865"/>
    </row>
    <row r="86" spans="1:26" ht="13.5" thickBot="1">
      <c r="A86" s="380" t="s">
        <v>1628</v>
      </c>
      <c r="B86" s="381" t="s">
        <v>431</v>
      </c>
      <c r="C86" s="382">
        <f ca="1">IF(C85&lt;=0,0,ROUND(C85*D86,0))</f>
        <v>13644</v>
      </c>
      <c r="D86" s="383">
        <f>'数据-取费表'!B41</f>
        <v>5.6000000000000001E-2</v>
      </c>
      <c r="E86" s="384"/>
      <c r="F86" s="42"/>
      <c r="G86" s="42"/>
      <c r="H86" s="973"/>
      <c r="I86" s="309"/>
      <c r="J86" s="1865"/>
      <c r="K86" s="3720"/>
      <c r="L86" s="2687" t="s">
        <v>2591</v>
      </c>
      <c r="M86" s="2677">
        <f ca="1">N69*0.5%</f>
        <v>1279.1200000000001</v>
      </c>
      <c r="N86" s="53">
        <f ca="1">IF(M86&gt;0.5,0.5,ROUND(M86,0))</f>
        <v>0.5</v>
      </c>
      <c r="O86" s="1865" t="s">
        <v>2592</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720"/>
      <c r="L87" s="2687" t="s">
        <v>2593</v>
      </c>
      <c r="M87" s="2677">
        <f ca="1">IF(N69&gt;=10000,(8.25+(N69-10000)*0.01%),IF(AND(N69&gt;=8000,N69&lt;10000),(7.85+(N69-8000)*0.02%),IF(AND(N69&gt;=5000,N69&lt;8000),(6.65+(N69-5000)*0.04%),IF(AND(N69&gt;=2000,N69&lt;5000),(4.25+(PN69-2000)*0.08%),IF(AND(N69&gt;=1000,N69&lt;2000),(2.75+(N69-1000)*0.15%),IF(AND(N69&gt;=100,N69&lt;1000),(0.5+(N69-100)*0.25%),IF(AND(N69&gt;0,N69&lt;100),N69*0.5%)))))))</f>
        <v>32.8324</v>
      </c>
      <c r="N87" s="53">
        <f ca="1">ROUND(M87*0.9,1)</f>
        <v>29.5</v>
      </c>
      <c r="O87" s="2680"/>
      <c r="P87" s="1865"/>
      <c r="Q87" s="1865"/>
      <c r="R87" s="1865"/>
      <c r="S87" s="1865"/>
      <c r="T87" s="1865"/>
      <c r="U87" s="1865"/>
      <c r="V87" s="1865"/>
      <c r="W87" s="290"/>
      <c r="X87" s="290"/>
      <c r="Y87" s="290"/>
      <c r="Z87" s="290"/>
    </row>
    <row r="88" spans="1:26" s="1231" customFormat="1" ht="15" thickBot="1">
      <c r="A88" s="3699" t="s">
        <v>432</v>
      </c>
      <c r="B88" s="3700"/>
      <c r="C88" s="3700"/>
      <c r="D88" s="3700"/>
      <c r="E88" s="3700"/>
      <c r="F88" s="3700"/>
      <c r="G88" s="3700"/>
      <c r="H88" s="3700"/>
      <c r="I88" s="1232"/>
      <c r="J88" s="1873"/>
      <c r="K88" s="3720"/>
      <c r="L88" s="2687" t="s">
        <v>2594</v>
      </c>
      <c r="M88" s="2677">
        <f ca="1">IF(N69&gt;10000,N69*0.5%,IF(AND(N69&gt;5000,N69&lt;=10000),N69*1%,IF(AND(N69&gt;1000,N69&lt;=5000),N69*2%,IF(AND(N69&gt;200,N69&lt;=1000),N69*3%,N69*5%))))</f>
        <v>1279.1200000000001</v>
      </c>
      <c r="N88" s="53">
        <f ca="1">ROUND(M88,1)</f>
        <v>1279.0999999999999</v>
      </c>
      <c r="O88" s="2680"/>
      <c r="P88" s="1870"/>
      <c r="Q88" s="1870"/>
      <c r="R88" s="1870"/>
      <c r="S88" s="1870"/>
      <c r="T88" s="1870"/>
      <c r="U88" s="1870"/>
      <c r="V88" s="1870"/>
      <c r="W88" s="1874"/>
      <c r="X88" s="1874"/>
      <c r="Y88" s="1874"/>
      <c r="Z88" s="1874"/>
    </row>
    <row r="89" spans="1:26" s="1231" customFormat="1" ht="14.25">
      <c r="A89" s="3674" t="s">
        <v>423</v>
      </c>
      <c r="B89" s="3675"/>
      <c r="C89" s="964"/>
      <c r="D89" s="964" t="s">
        <v>424</v>
      </c>
      <c r="E89" s="385" t="s">
        <v>433</v>
      </c>
      <c r="F89" s="386"/>
      <c r="G89" s="386"/>
      <c r="H89" s="387"/>
      <c r="I89" s="1233"/>
      <c r="J89" s="1875"/>
      <c r="K89" s="3720"/>
      <c r="L89" s="2687" t="s">
        <v>27</v>
      </c>
      <c r="M89" s="2678"/>
      <c r="N89" s="53">
        <f ca="1">ROUND(SUM(N83:N88),0)</f>
        <v>4123</v>
      </c>
      <c r="O89" s="2688">
        <f ca="1">N89/N69</f>
        <v>1.6116548877353181E-2</v>
      </c>
      <c r="P89" s="1870"/>
      <c r="Q89" s="1870"/>
      <c r="R89" s="1870"/>
      <c r="S89" s="1870"/>
      <c r="T89" s="1870"/>
      <c r="U89" s="1870"/>
      <c r="V89" s="1870"/>
      <c r="W89" s="1874"/>
      <c r="X89" s="1874"/>
      <c r="Y89" s="1874"/>
      <c r="Z89" s="1874"/>
    </row>
    <row r="90" spans="1:26" s="1231" customFormat="1" ht="14.25">
      <c r="A90" s="375" t="s">
        <v>1623</v>
      </c>
      <c r="B90" s="376" t="s">
        <v>434</v>
      </c>
      <c r="C90" s="379">
        <f ca="1">ROUND(D63/(1+'数据-取费表'!C42),0)</f>
        <v>243642</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5" t="s">
        <v>1629</v>
      </c>
      <c r="B91" s="346" t="s">
        <v>435</v>
      </c>
      <c r="C91" s="379">
        <f ca="1">C92+C96</f>
        <v>1462</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1630</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1632</v>
      </c>
      <c r="B94" s="394" t="s">
        <v>440</v>
      </c>
      <c r="C94" s="372">
        <f>IF(F93="购房发票",ROUND(C93*H93*5%,0),0)</f>
        <v>0</v>
      </c>
      <c r="D94" s="395">
        <v>0.05</v>
      </c>
      <c r="E94" s="3656" t="s">
        <v>441</v>
      </c>
      <c r="F94" s="3655"/>
      <c r="G94" s="3655"/>
      <c r="H94" s="3698"/>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1634</v>
      </c>
      <c r="B96" s="370" t="s">
        <v>444</v>
      </c>
      <c r="C96" s="399">
        <f ca="1">ROUND(D63*D96/(1+'数据-取费表'!C42),0)</f>
        <v>1462</v>
      </c>
      <c r="D96" s="400">
        <f>'数据-取费表'!B43</f>
        <v>6.000000000000001E-3</v>
      </c>
      <c r="E96" s="3690" t="s">
        <v>2214</v>
      </c>
      <c r="F96" s="3691"/>
      <c r="G96" s="3691"/>
      <c r="H96" s="3692"/>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6" t="s">
        <v>445</v>
      </c>
      <c r="C97" s="379">
        <f ca="1">C90-C91</f>
        <v>242180</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6" t="s">
        <v>446</v>
      </c>
      <c r="C98" s="401">
        <f ca="1">IF(C97&lt;=0,0,C97/C91)</f>
        <v>165.64979480164158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1" t="s">
        <v>447</v>
      </c>
      <c r="C99" s="402">
        <f ca="1">ROUND(IF(C97&lt;=0,0,IF(C98&gt;=200%,C97*60%-C91*35%,IF(C98&gt;=100%,C97*50%-C91*15%,IF(C98&gt;=50%,C97*40%-C91*5%,IF(C98&lt;50%,C97*30%,0))))),0)</f>
        <v>144796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99" t="s">
        <v>448</v>
      </c>
      <c r="B101" s="3700"/>
      <c r="C101" s="3700"/>
      <c r="D101" s="3700"/>
      <c r="E101" s="3700"/>
      <c r="F101" s="3700"/>
      <c r="G101" s="3700"/>
      <c r="H101" s="3700"/>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674" t="s">
        <v>423</v>
      </c>
      <c r="B102" s="3675"/>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5" t="s">
        <v>1623</v>
      </c>
      <c r="B103" s="376" t="s">
        <v>434</v>
      </c>
      <c r="C103" s="379">
        <f ca="1">ROUND(D63/(1+'数据-取费表'!C42),0)</f>
        <v>243642</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5" t="s">
        <v>1629</v>
      </c>
      <c r="B104" s="346" t="s">
        <v>435</v>
      </c>
      <c r="C104" s="379">
        <f ca="1">IF(H106="仅含出让金",C105+C108+C109+C110+C111+C112,C105+C109+C110+C111+C112)</f>
        <v>1462</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9" t="s">
        <v>1630</v>
      </c>
      <c r="B105" s="370" t="s">
        <v>449</v>
      </c>
      <c r="C105" s="399">
        <f>C106+C107</f>
        <v>0</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9" t="s">
        <v>1631</v>
      </c>
      <c r="B106" s="370" t="s">
        <v>450</v>
      </c>
      <c r="C106" s="410"/>
      <c r="D106" s="400"/>
      <c r="E106" s="411" t="s">
        <v>451</v>
      </c>
      <c r="F106" s="956"/>
      <c r="G106" s="412" t="s">
        <v>452</v>
      </c>
      <c r="H106" s="413"/>
      <c r="I106" s="11"/>
      <c r="J106" s="1870"/>
      <c r="K106" s="3152" t="s">
        <v>2719</v>
      </c>
      <c r="L106" s="1870"/>
      <c r="M106" s="1870"/>
      <c r="N106" s="1870"/>
      <c r="O106" s="1870"/>
      <c r="P106" s="1870"/>
      <c r="Q106" s="1870"/>
      <c r="R106" s="1870"/>
      <c r="S106" s="1870"/>
      <c r="T106" s="1870"/>
      <c r="U106" s="1870"/>
      <c r="V106" s="1870"/>
      <c r="W106" s="1874"/>
      <c r="X106" s="1874"/>
      <c r="Y106" s="1874"/>
      <c r="Z106" s="1874"/>
    </row>
    <row r="107" spans="1:26" s="1231" customFormat="1" ht="14.25">
      <c r="A107" s="389" t="s">
        <v>1632</v>
      </c>
      <c r="B107" s="370" t="s">
        <v>442</v>
      </c>
      <c r="C107" s="399">
        <f>ROUND(C106*D107,0)</f>
        <v>0</v>
      </c>
      <c r="D107" s="400">
        <f>'数据-取费表'!B48+'数据-取费表'!B49</f>
        <v>3.0499999999999999E-2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9" t="s">
        <v>1634</v>
      </c>
      <c r="B108" s="370" t="s">
        <v>454</v>
      </c>
      <c r="C108" s="410"/>
      <c r="D108" s="400"/>
      <c r="E108" s="411" t="str">
        <f>IF(H106="-","土地取得成本中已包含该笔费用"," ")</f>
        <v xml:space="preserve"> </v>
      </c>
      <c r="F108" s="956"/>
      <c r="G108" s="3650" t="s">
        <v>2691</v>
      </c>
      <c r="H108" s="3651"/>
      <c r="I108" s="2777"/>
      <c r="J108" s="1870"/>
      <c r="K108" s="3152" t="s">
        <v>2720</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70" t="s">
        <v>455</v>
      </c>
      <c r="C109" s="399">
        <f>IF(H109="——",IF(F1="现房",'剩余法-现房'!C18,0),I109)</f>
        <v>0</v>
      </c>
      <c r="D109" s="400"/>
      <c r="E109" s="3693" t="s">
        <v>456</v>
      </c>
      <c r="F109" s="3691"/>
      <c r="G109" s="3691"/>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70" t="s">
        <v>457</v>
      </c>
      <c r="C110" s="399">
        <f>ROUND((C105+C108+C109)*D110,0)</f>
        <v>0</v>
      </c>
      <c r="D110" s="3183">
        <v>0</v>
      </c>
      <c r="E110" s="3693" t="s">
        <v>458</v>
      </c>
      <c r="F110" s="3691"/>
      <c r="G110" s="3691"/>
      <c r="H110" s="3692"/>
      <c r="I110" s="11"/>
      <c r="J110" s="1870"/>
      <c r="K110" s="3153" t="s">
        <v>2721</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70" t="s">
        <v>444</v>
      </c>
      <c r="C111" s="399">
        <f ca="1">ROUND(D63*D111/(1+'数据-取费表'!C42),0)</f>
        <v>1462</v>
      </c>
      <c r="D111" s="400">
        <f>'数据-取费表'!B43</f>
        <v>6.000000000000001E-3</v>
      </c>
      <c r="E111" s="3690" t="s">
        <v>2214</v>
      </c>
      <c r="F111" s="3691"/>
      <c r="G111" s="3691"/>
      <c r="H111" s="3692"/>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70" t="s">
        <v>459</v>
      </c>
      <c r="C112" s="399">
        <f>ROUND(C108*D112,0)</f>
        <v>0</v>
      </c>
      <c r="D112" s="400">
        <v>0.2</v>
      </c>
      <c r="E112" s="3693" t="s">
        <v>2233</v>
      </c>
      <c r="F112" s="3691"/>
      <c r="G112" s="3691"/>
      <c r="H112" s="3692"/>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6" t="s">
        <v>445</v>
      </c>
      <c r="C113" s="379">
        <f ca="1">ROUND(C103-C104,0)</f>
        <v>242180</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6" t="s">
        <v>446</v>
      </c>
      <c r="C114" s="401">
        <f ca="1">IF(C113&lt;=0,0,C113/C104)</f>
        <v>165.64979480164158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1" t="s">
        <v>447</v>
      </c>
      <c r="C115" s="402">
        <f ca="1">ROUND(IF(C113&lt;=0,0,IF(C114&gt;=200%,C113*60%-C104*35%,IF(C114&gt;=100%,C113*50%-C104*15%,IF(C114&gt;=50%,C113*40%-C104*5%,IF(C114&lt;50%,C113*30%,0))))),0)</f>
        <v>144796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543" t="str">
        <f>项目基本情况!B1</f>
        <v>出让国有建设用地使用权抵押价格预评估</v>
      </c>
      <c r="C37" s="3543"/>
      <c r="D37" s="3543"/>
      <c r="E37" s="3543"/>
      <c r="F37" s="3543"/>
      <c r="G37" s="3543"/>
      <c r="H37" s="3543"/>
      <c r="I37" s="3543"/>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吴薇、崔锴</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O49" sqref="O49"/>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9</v>
      </c>
      <c r="L1" s="290"/>
      <c r="M1" s="290"/>
      <c r="N1" s="290"/>
      <c r="O1" s="290"/>
      <c r="P1" s="290"/>
      <c r="Q1" s="290"/>
      <c r="R1" s="290"/>
      <c r="S1" s="290"/>
      <c r="T1" s="290"/>
      <c r="U1" s="290"/>
      <c r="V1" s="290"/>
      <c r="W1" s="290"/>
      <c r="X1" s="290"/>
      <c r="Y1" s="290"/>
      <c r="Z1" s="290"/>
    </row>
    <row r="2" spans="1:31" s="1878" customFormat="1" ht="18" customHeight="1">
      <c r="A2" s="1937" t="s">
        <v>461</v>
      </c>
      <c r="B2" s="1941">
        <f ca="1">C36</f>
        <v>241750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10744</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37324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2488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465661</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902</v>
      </c>
      <c r="D7" s="430" t="s">
        <v>3120</v>
      </c>
      <c r="E7" s="430" t="s">
        <v>3121</v>
      </c>
      <c r="F7" s="430"/>
      <c r="G7" s="430"/>
      <c r="H7" s="430"/>
      <c r="I7" s="430"/>
      <c r="J7" s="430"/>
      <c r="K7" s="431"/>
      <c r="AA7" s="1948"/>
      <c r="AB7" s="1948"/>
      <c r="AC7" s="1948"/>
      <c r="AD7" s="1948"/>
      <c r="AE7" s="1948"/>
    </row>
    <row r="8" spans="1:31" s="1951" customFormat="1" ht="13.5" customHeight="1">
      <c r="A8" s="776" t="s">
        <v>1645</v>
      </c>
      <c r="B8" s="259" t="s">
        <v>466</v>
      </c>
      <c r="C8" s="2473">
        <f>'不动产比较法-住宅'!B3</f>
        <v>28558</v>
      </c>
      <c r="D8" s="2473">
        <f ca="1">'不动产收益法-商业'!B3</f>
        <v>24921</v>
      </c>
      <c r="E8" s="2473">
        <f ca="1">'不动产收益法-车库'!B3</f>
        <v>1678</v>
      </c>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158548.07999999999</v>
      </c>
      <c r="D9" s="435">
        <f>SUMIF('数据-汇总表'!$C19:$C33,'剩余法-待开发'!D7,'数据-汇总表'!$E19:$E33)</f>
        <v>937.37</v>
      </c>
      <c r="E9" s="435">
        <f>SUMIF('数据-汇总表'!$C19:$C33,'剩余法-待开发'!E7,'数据-汇总表'!$E19:$E33)</f>
        <v>62819.43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ROUND(C9*C8/10000,0)</f>
        <v>452782</v>
      </c>
      <c r="D10" s="2663">
        <f ca="1">'不动产收益法-商业'!C40</f>
        <v>2336</v>
      </c>
      <c r="E10" s="2663">
        <f ca="1">'不动产收益法-车库'!C40</f>
        <v>10543</v>
      </c>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83355</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2501</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3171</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4500</v>
      </c>
      <c r="D16" s="2483">
        <f ca="1">IF(B1="",'数据-汇总表'!E3,INDIRECT("'数据-取费表'!K"&amp;$K$1)+INDIRECT("'数据-取费表'!S"&amp;$K$1))</f>
        <v>225000.80999999997</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1250</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94777</v>
      </c>
      <c r="D18" s="2492"/>
      <c r="E18" s="461"/>
      <c r="F18" s="461"/>
      <c r="G18" s="2455" t="s">
        <v>2215</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225000.80999999997</v>
      </c>
      <c r="E19" s="2447">
        <f>'数据-取费表'!B32</f>
        <v>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3375</v>
      </c>
      <c r="D20" s="2493"/>
      <c r="E20" s="2447"/>
      <c r="F20" s="2494"/>
      <c r="G20" s="2694" t="s">
        <v>3381</v>
      </c>
      <c r="H20" s="2449"/>
      <c r="I20" s="2450" t="s">
        <v>2367</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2378</v>
      </c>
      <c r="D21" s="2483">
        <f ca="1">IF(B1="",'数据-汇总表'!E5,IF(INDIRECT("'数据-取费表'!c"&amp;$K$1)="住宅",INDIRECT("'数据-取费表'!k"&amp;$K$1),0))</f>
        <v>158548.07999999999</v>
      </c>
      <c r="E21" s="53">
        <f>'数据-取费表'!B27</f>
        <v>150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997</v>
      </c>
      <c r="D22" s="2483">
        <f ca="1">IF(B1="",'数据-汇总表'!E6,IF(INDIRECT("'数据-取费表'!c"&amp;$K$1)="住宅",INDIRECT("'数据-取费表'!s"&amp;$K$1),INDIRECT("'数据-取费表'!k"&amp;$K$1)+INDIRECT("'数据-取费表'!s"&amp;$K$1)))</f>
        <v>66452.729999999981</v>
      </c>
      <c r="E22" s="53">
        <f>'数据-取费表'!B28</f>
        <v>150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2547</v>
      </c>
      <c r="C23" s="2491">
        <f ca="1">ROUND((C18+C19+C20)*F23,0)</f>
        <v>1963</v>
      </c>
      <c r="D23" s="461"/>
      <c r="E23" s="461"/>
      <c r="F23" s="2495">
        <f>'数据-取费表'!B37</f>
        <v>0.02</v>
      </c>
      <c r="G23" s="2451" t="s">
        <v>2216</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2550</v>
      </c>
      <c r="C24" s="2491">
        <f ca="1">ROUND(C6*F24,0)</f>
        <v>9313</v>
      </c>
      <c r="D24" s="468"/>
      <c r="E24" s="466"/>
      <c r="F24" s="2495">
        <f>'数据-取费表'!B38</f>
        <v>0.02</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2548</v>
      </c>
      <c r="C25" s="460">
        <f>ROUND(F25/(1+'数据-取费表'!C42),4)</f>
        <v>2.9000000000000001E-2</v>
      </c>
      <c r="D25" s="455" t="s">
        <v>2543</v>
      </c>
      <c r="E25" s="462"/>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2549</v>
      </c>
      <c r="C26" s="2496">
        <f ca="1">C28</f>
        <v>6966</v>
      </c>
      <c r="D26" s="460">
        <f ca="1">C27</f>
        <v>0.13519999999999999</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0.13519999999999999</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2551</v>
      </c>
      <c r="C28" s="2499">
        <f ca="1">ROUND(IF('数据-取费表'!B22&lt;=1,(C18+C19+C20+C23+C24)*F26*'数据-取费表'!B24/2,(C18+C19+C20+C23+C24)*(POWER((1+F26),'数据-取费表'!B24/2)-1)),0)</f>
        <v>6966</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24835</v>
      </c>
      <c r="D29" s="461"/>
      <c r="E29" s="461"/>
      <c r="F29" s="2669">
        <f>'数据-取费表'!B41</f>
        <v>5.6000000000000001E-2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141229</v>
      </c>
      <c r="D30" s="470">
        <f ca="1">C32</f>
        <v>0.16420000000000001</v>
      </c>
      <c r="E30" s="462" t="s">
        <v>489</v>
      </c>
      <c r="F30" s="464"/>
      <c r="G30" s="2459" t="s">
        <v>2667</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141229</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0.16420000000000001</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2546</v>
      </c>
      <c r="B33" s="2664" t="s">
        <v>2544</v>
      </c>
      <c r="C33" s="471">
        <f ca="1">C35</f>
        <v>13131</v>
      </c>
      <c r="D33" s="460">
        <f ca="1">C34</f>
        <v>0.1235</v>
      </c>
      <c r="E33" s="462" t="s">
        <v>489</v>
      </c>
      <c r="F33" s="472">
        <f ca="1">IF(B1="",'数据-取费表'!Q16,INDIRECT("'数据-取费表'!q"&amp;$K$1))</f>
        <v>0.12</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0.1235</v>
      </c>
      <c r="D34" s="465"/>
      <c r="E34" s="466"/>
      <c r="F34" s="473"/>
      <c r="G34" s="259" t="s">
        <v>2081</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2552</v>
      </c>
      <c r="C35" s="1512">
        <f ca="1">ROUND((C18+C19+C20+C23+C24)*F33,0)</f>
        <v>13131</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241750</v>
      </c>
      <c r="D36" s="2465"/>
      <c r="E36" s="2465"/>
      <c r="F36" s="2465"/>
      <c r="G36" s="2464" t="s">
        <v>2553</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9</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2368</v>
      </c>
      <c r="B6" s="427"/>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2" t="s">
        <v>473</v>
      </c>
      <c r="C13" s="443">
        <f ca="1">IF(B1="",'数据-取费表'!M16,INDIRECT("'数据-取费表'!M"&amp;$K$1)+INDIRECT("'数据-取费表'!t"&amp;$K$1))</f>
        <v>83355</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2" t="s">
        <v>474</v>
      </c>
      <c r="C14" s="53">
        <f ca="1">ROUND(C13*F14,0)</f>
        <v>2501</v>
      </c>
      <c r="D14" s="444"/>
      <c r="E14" s="363"/>
      <c r="F14" s="446">
        <f>'数据-取费表'!B33</f>
        <v>0.03</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2" t="s">
        <v>476</v>
      </c>
      <c r="C15" s="53">
        <f ca="1">ROUND(IF(B1="",SUMIF('数据-取费表'!C:C,"住宅",'数据-取费表'!M:M)*F15,IF(INDIRECT("'数据-取费表'!c"&amp;$K$1)="住宅",INDIRECT("'数据-取费表'!M"&amp;$K$1)*F15,0)),0)</f>
        <v>3171</v>
      </c>
      <c r="D15" s="444"/>
      <c r="E15" s="363"/>
      <c r="F15" s="446">
        <f>'数据-取费表'!B34</f>
        <v>0.05</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2" t="s">
        <v>478</v>
      </c>
      <c r="C16" s="53">
        <f ca="1">ROUND(D16*E16/10000,0)</f>
        <v>4500</v>
      </c>
      <c r="D16" s="444">
        <f ca="1">IF(B1="",'数据-汇总表'!E3,INDIRECT("'数据-取费表'!K"&amp;$K$1)+INDIRECT("'数据-取费表'!S"&amp;$K$1))</f>
        <v>225000.80999999997</v>
      </c>
      <c r="E16" s="53">
        <f>'数据-取费表'!B35</f>
        <v>200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2" t="s">
        <v>479</v>
      </c>
      <c r="C17" s="447">
        <f ca="1">ROUND(C13*F17,0)</f>
        <v>1250</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2" t="s">
        <v>481</v>
      </c>
      <c r="C18" s="453">
        <f ca="1">SUM(C13:C17)</f>
        <v>94777</v>
      </c>
      <c r="D18" s="454"/>
      <c r="E18" s="455"/>
      <c r="F18" s="455"/>
      <c r="G18" s="1243" t="s">
        <v>2217</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2" t="s">
        <v>487</v>
      </c>
      <c r="C19" s="453">
        <f ca="1">ROUND(C18*F19,0)</f>
        <v>1896</v>
      </c>
      <c r="D19" s="454"/>
      <c r="E19" s="455"/>
      <c r="F19" s="459">
        <f>'数据-取费表'!B37</f>
        <v>0.02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4" t="s">
        <v>488</v>
      </c>
      <c r="C20" s="463">
        <f ca="1">ROUND(IF('数据-取费表'!B22&lt;=1,(C18+C19)*F20*'数据-取费表'!B20/2,(C18+C19)*(POWER((1+F20),'数据-取费表'!B20/2)-1)),0)</f>
        <v>6154</v>
      </c>
      <c r="D20" s="455">
        <f ca="1">ROUND(((1+F20)^'数据-取费表'!B20)-1,4)</f>
        <v>0.13139999999999999</v>
      </c>
      <c r="E20" s="455"/>
      <c r="F20" s="464">
        <f ca="1">'数据-取费表'!B40</f>
        <v>4.2000000000000003E-2</v>
      </c>
      <c r="G20" s="1243"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2234</v>
      </c>
      <c r="M20" s="3117"/>
      <c r="N20" s="3117"/>
      <c r="O20" s="3117"/>
      <c r="P20" s="3117"/>
      <c r="Q20" s="3110"/>
      <c r="R20" s="3110"/>
      <c r="S20" s="3110"/>
      <c r="T20" s="3110"/>
      <c r="U20" s="3110"/>
      <c r="V20" s="3110"/>
      <c r="W20" s="3110"/>
      <c r="X20" s="3110"/>
      <c r="Y20" s="3110"/>
      <c r="Z20" s="3110"/>
    </row>
    <row r="21" spans="1:26" s="1956" customFormat="1" ht="13.5" customHeight="1">
      <c r="A21" s="1518" t="s">
        <v>2738</v>
      </c>
      <c r="B21" s="2664" t="s">
        <v>2545</v>
      </c>
      <c r="C21" s="471">
        <f ca="1">ROUND((C18+C19)*F21,0)</f>
        <v>11601</v>
      </c>
      <c r="D21" s="3195"/>
      <c r="E21" s="455"/>
      <c r="F21" s="472">
        <f ca="1">IF(B1="",'数据-取费表'!Q16,INDIRECT("'数据-取费表'!q"&amp;$K$1))</f>
        <v>0.12</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2739</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732" t="s">
        <v>1665</v>
      </c>
      <c r="B24" s="3733"/>
      <c r="C24" s="3205">
        <f>ROUND(C6*F24/(1+'数据-取费表'!B42),0)</f>
        <v>0</v>
      </c>
      <c r="D24" s="3206"/>
      <c r="E24" s="3207"/>
      <c r="F24" s="3208">
        <f>'数据-取费表'!B41</f>
        <v>5.6000000000000001E-2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732" t="s">
        <v>2736</v>
      </c>
      <c r="B25" s="3733"/>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732" t="s">
        <v>2737</v>
      </c>
      <c r="B26" s="3733"/>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734" t="s">
        <v>2735</v>
      </c>
      <c r="B27" s="3735"/>
      <c r="C27" s="3213">
        <f ca="1">(C6-C23-C24-C25)/((1+F26)*(1+D20+F21))</f>
        <v>0</v>
      </c>
      <c r="D27" s="3214"/>
      <c r="E27" s="3214"/>
      <c r="F27" s="3214"/>
      <c r="G27" s="3215" t="s">
        <v>2668</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1" zoomScale="70" zoomScaleNormal="95" zoomScaleSheetLayoutView="70" workbookViewId="0">
      <selection activeCell="N27" sqref="N27"/>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7" t="s">
        <v>461</v>
      </c>
      <c r="B2" s="485">
        <f>F67</f>
        <v>269897</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7">
        <f>ROUND(B2*10000/'数据-汇总表'!E3,0)</f>
        <v>11995</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8" t="s">
        <v>503</v>
      </c>
      <c r="B4" s="421">
        <f>IF(B48="单位面积地价",C50,ROUND(B2*10000/'数据-汇总表'!D3,0))</f>
        <v>41670</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3"/>
      <c r="B5" s="424">
        <f>ROUND(B2/('数据-汇总表'!D3/666.67),0)</f>
        <v>2778</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743" t="s">
        <v>505</v>
      </c>
      <c r="D6" s="3744"/>
      <c r="E6" s="3743" t="s">
        <v>506</v>
      </c>
      <c r="F6" s="3744"/>
      <c r="G6" s="3743" t="s">
        <v>507</v>
      </c>
      <c r="H6" s="3744"/>
      <c r="I6" s="3743" t="s">
        <v>508</v>
      </c>
      <c r="J6" s="3744"/>
      <c r="K6" s="491" t="s">
        <v>509</v>
      </c>
      <c r="L6" s="1969"/>
      <c r="M6" s="1968"/>
      <c r="N6" s="1968"/>
      <c r="O6" s="1970"/>
      <c r="P6" s="3745" t="s">
        <v>510</v>
      </c>
      <c r="Q6" s="3746"/>
      <c r="R6" s="3751" t="s">
        <v>506</v>
      </c>
      <c r="S6" s="3752"/>
      <c r="T6" s="3751" t="s">
        <v>507</v>
      </c>
      <c r="U6" s="3752"/>
      <c r="V6" s="3738" t="s">
        <v>508</v>
      </c>
      <c r="W6" s="3738"/>
      <c r="X6" s="1457"/>
      <c r="Y6" s="3751" t="s">
        <v>510</v>
      </c>
      <c r="Z6" s="3752"/>
      <c r="AA6" s="3740" t="s">
        <v>506</v>
      </c>
      <c r="AB6" s="3741" t="s">
        <v>507</v>
      </c>
      <c r="AC6" s="3740" t="s">
        <v>508</v>
      </c>
    </row>
    <row r="7" spans="1:30" ht="30" customHeight="1">
      <c r="A7" s="492"/>
      <c r="B7" s="493"/>
      <c r="C7" s="3759" t="str">
        <f>土地案例!A25</f>
        <v xml:space="preserve">栖霞区尧化街道兴智科技城地块一   </v>
      </c>
      <c r="D7" s="3760"/>
      <c r="E7" s="3759" t="str">
        <f>土地案例!A6</f>
        <v xml:space="preserve">栖霞区燕子矶街道仙林副城新港片区恒竞路以南、经十三路以西地块    </v>
      </c>
      <c r="F7" s="3760"/>
      <c r="G7" s="3759" t="str">
        <f>土地案例!A22</f>
        <v xml:space="preserve">栖霞区尧化街道新尧路以东、新城路以北地块   </v>
      </c>
      <c r="H7" s="3760"/>
      <c r="I7" s="3759" t="str">
        <f>土地案例!A28</f>
        <v xml:space="preserve">栖霞区经济技术开发区兴智科技城地块三   </v>
      </c>
      <c r="J7" s="3760"/>
      <c r="K7" s="491"/>
      <c r="L7" s="1969"/>
      <c r="M7" s="1968"/>
      <c r="N7" s="1968"/>
      <c r="O7" s="1970"/>
      <c r="P7" s="3747"/>
      <c r="Q7" s="3748"/>
      <c r="R7" s="3753"/>
      <c r="S7" s="3754"/>
      <c r="T7" s="3753"/>
      <c r="U7" s="3754"/>
      <c r="V7" s="3738"/>
      <c r="W7" s="3738"/>
      <c r="X7" s="1457"/>
      <c r="Y7" s="3753"/>
      <c r="Z7" s="3754"/>
      <c r="AA7" s="3741"/>
      <c r="AB7" s="3741"/>
      <c r="AC7" s="3741"/>
    </row>
    <row r="8" spans="1:30" ht="21" thickBot="1">
      <c r="A8" s="492"/>
      <c r="B8" s="493"/>
      <c r="C8" s="3761" t="s">
        <v>2633</v>
      </c>
      <c r="D8" s="3762"/>
      <c r="E8" s="3761" t="s">
        <v>2633</v>
      </c>
      <c r="F8" s="3762"/>
      <c r="G8" s="3757" t="s">
        <v>2633</v>
      </c>
      <c r="H8" s="3758"/>
      <c r="I8" s="3757" t="s">
        <v>2633</v>
      </c>
      <c r="J8" s="3758"/>
      <c r="K8" s="491" t="s">
        <v>511</v>
      </c>
      <c r="L8" s="1969"/>
      <c r="M8" s="1968"/>
      <c r="N8" s="1968"/>
      <c r="O8" s="1970"/>
      <c r="P8" s="3749"/>
      <c r="Q8" s="3750"/>
      <c r="R8" s="3753"/>
      <c r="S8" s="3754"/>
      <c r="T8" s="3755"/>
      <c r="U8" s="3756"/>
      <c r="V8" s="3738"/>
      <c r="W8" s="3738"/>
      <c r="X8" s="1457"/>
      <c r="Y8" s="3755"/>
      <c r="Z8" s="3756"/>
      <c r="AA8" s="3742"/>
      <c r="AB8" s="3742"/>
      <c r="AC8" s="3742"/>
    </row>
    <row r="9" spans="1:30" s="1166" customFormat="1" ht="21" thickBot="1">
      <c r="A9" s="2551"/>
      <c r="B9" s="2558" t="s">
        <v>512</v>
      </c>
      <c r="C9" s="2550">
        <f>'数据-取费表'!B2</f>
        <v>44747</v>
      </c>
      <c r="D9" s="497">
        <v>100</v>
      </c>
      <c r="E9" s="498">
        <f>土地案例!W6</f>
        <v>44465.000497685185</v>
      </c>
      <c r="F9" s="499">
        <f>SUMIF(71:71,YEAR(E9)&amp;"-"&amp;INT((MONTH(E9)+2)/3),72:72)</f>
        <v>98</v>
      </c>
      <c r="G9" s="500">
        <f>土地案例!W22</f>
        <v>44027.000497685185</v>
      </c>
      <c r="H9" s="497">
        <f>SUMIF(71:71,YEAR(G9)&amp;"-"&amp;INT((MONTH(G9)+2)/3),72:72)</f>
        <v>96</v>
      </c>
      <c r="I9" s="500">
        <f>土地案例!W28</f>
        <v>43924.000497685185</v>
      </c>
      <c r="J9" s="497">
        <f>SUMIF(71:71,YEAR(I9)&amp;"-"&amp;INT((MONTH(I9)+2)/3),72:72)</f>
        <v>95.5</v>
      </c>
      <c r="K9" s="501"/>
      <c r="L9" s="1971"/>
      <c r="M9" s="1968"/>
      <c r="N9" s="1968"/>
      <c r="O9" s="1972"/>
      <c r="P9" s="3767" t="s">
        <v>513</v>
      </c>
      <c r="Q9" s="3769"/>
      <c r="R9" s="1458" t="s">
        <v>8</v>
      </c>
      <c r="S9" s="1459">
        <f t="shared" ref="S9:S17" si="0">F9</f>
        <v>98</v>
      </c>
      <c r="T9" s="1458" t="s">
        <v>8</v>
      </c>
      <c r="U9" s="1459">
        <f t="shared" ref="U9:U17" si="1">H9</f>
        <v>96</v>
      </c>
      <c r="V9" s="1458" t="s">
        <v>8</v>
      </c>
      <c r="W9" s="1459">
        <f t="shared" ref="W9:W17" si="2">J9</f>
        <v>95.5</v>
      </c>
      <c r="X9" s="1460"/>
      <c r="Y9" s="3767" t="s">
        <v>513</v>
      </c>
      <c r="Z9" s="3768"/>
      <c r="AA9" s="1461">
        <f>D9/F9</f>
        <v>1.0204081632653061</v>
      </c>
      <c r="AB9" s="1461">
        <f>D9/H9</f>
        <v>1.0416666666666667</v>
      </c>
      <c r="AC9" s="1461">
        <f>D9/J9</f>
        <v>1.0471204188481675</v>
      </c>
    </row>
    <row r="10" spans="1:30" s="1166" customFormat="1" ht="21" thickBot="1">
      <c r="A10" s="2552"/>
      <c r="B10" s="2559"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1"/>
      <c r="M10" s="1968"/>
      <c r="N10" s="1968"/>
      <c r="O10" s="1972"/>
      <c r="P10" s="3767" t="s">
        <v>516</v>
      </c>
      <c r="Q10" s="3768"/>
      <c r="R10" s="1458" t="s">
        <v>8</v>
      </c>
      <c r="S10" s="1459">
        <f t="shared" si="0"/>
        <v>100</v>
      </c>
      <c r="T10" s="1458" t="s">
        <v>8</v>
      </c>
      <c r="U10" s="1459">
        <f t="shared" si="1"/>
        <v>100</v>
      </c>
      <c r="V10" s="1458" t="s">
        <v>8</v>
      </c>
      <c r="W10" s="1459">
        <f t="shared" si="2"/>
        <v>100</v>
      </c>
      <c r="X10" s="1460"/>
      <c r="Y10" s="3767" t="s">
        <v>516</v>
      </c>
      <c r="Z10" s="3768"/>
      <c r="AA10" s="1461">
        <f t="shared" ref="AA10:AA47" si="3">D10/F10</f>
        <v>1</v>
      </c>
      <c r="AB10" s="1461">
        <f t="shared" ref="AB10:AB47" si="4">D10/H10</f>
        <v>1</v>
      </c>
      <c r="AC10" s="1461">
        <f t="shared" ref="AC10:AC47" si="5">D10/J10</f>
        <v>1</v>
      </c>
    </row>
    <row r="11" spans="1:30" s="1166" customFormat="1" ht="20.25">
      <c r="A11" s="2553"/>
      <c r="B11" s="2560" t="s">
        <v>2472</v>
      </c>
      <c r="C11" s="2547" t="s">
        <v>902</v>
      </c>
      <c r="D11" s="252">
        <v>100</v>
      </c>
      <c r="E11" s="2547" t="s">
        <v>902</v>
      </c>
      <c r="F11" s="252">
        <f>SUMIF(76:76,E11,77:77)-SUMIF(76:76,C11,77:77)+100</f>
        <v>100</v>
      </c>
      <c r="G11" s="2547" t="s">
        <v>902</v>
      </c>
      <c r="H11" s="252">
        <f>SUMIF(76:76,G11,77:77)-SUMIF(76:76,C11,77:77)+100</f>
        <v>100</v>
      </c>
      <c r="I11" s="2547" t="s">
        <v>902</v>
      </c>
      <c r="J11" s="252">
        <f>SUMIF(76:76,I11,77:77)-SUMIF(76:76,C11,77:77)+100</f>
        <v>100</v>
      </c>
      <c r="K11" s="501"/>
      <c r="L11" s="1971"/>
      <c r="M11" s="1968"/>
      <c r="N11" s="1968"/>
      <c r="O11" s="1973"/>
      <c r="P11" s="3737" t="s">
        <v>518</v>
      </c>
      <c r="Q11" s="1097" t="str">
        <f t="shared" ref="Q11:Q17" si="6">B11</f>
        <v>用途</v>
      </c>
      <c r="R11" s="1458" t="s">
        <v>8</v>
      </c>
      <c r="S11" s="1459">
        <f t="shared" si="0"/>
        <v>100</v>
      </c>
      <c r="T11" s="1458" t="s">
        <v>8</v>
      </c>
      <c r="U11" s="1459">
        <f t="shared" si="1"/>
        <v>100</v>
      </c>
      <c r="V11" s="1458" t="s">
        <v>8</v>
      </c>
      <c r="W11" s="1459">
        <f t="shared" si="2"/>
        <v>100</v>
      </c>
      <c r="X11" s="1460"/>
      <c r="Y11" s="3681" t="s">
        <v>519</v>
      </c>
      <c r="Z11" s="1096" t="str">
        <f t="shared" ref="Z11:Z17" si="7">Q11</f>
        <v>用途</v>
      </c>
      <c r="AA11" s="1461">
        <f t="shared" si="3"/>
        <v>1</v>
      </c>
      <c r="AB11" s="1461">
        <f t="shared" si="4"/>
        <v>1</v>
      </c>
      <c r="AC11" s="1461">
        <f t="shared" si="5"/>
        <v>1</v>
      </c>
    </row>
    <row r="12" spans="1:30" s="1247" customFormat="1" ht="27">
      <c r="A12" s="2554"/>
      <c r="B12" s="2559" t="s">
        <v>2473</v>
      </c>
      <c r="C12" s="881"/>
      <c r="D12" s="253">
        <v>100</v>
      </c>
      <c r="E12" s="506"/>
      <c r="F12" s="253">
        <f>ROUND(100/'数据-取费表'!G16,0)</f>
        <v>101</v>
      </c>
      <c r="G12" s="507"/>
      <c r="H12" s="253">
        <f>ROUND(100/'数据-取费表'!G16,0)</f>
        <v>101</v>
      </c>
      <c r="I12" s="507"/>
      <c r="J12" s="253">
        <f>ROUND(100/'数据-取费表'!G16,0)</f>
        <v>101</v>
      </c>
      <c r="K12" s="508"/>
      <c r="L12" s="1974"/>
      <c r="M12" s="1968"/>
      <c r="N12" s="1968"/>
      <c r="O12" s="1975"/>
      <c r="P12" s="3737"/>
      <c r="Q12" s="1097" t="str">
        <f t="shared" si="6"/>
        <v>土地使用年限（年）</v>
      </c>
      <c r="R12" s="1458" t="s">
        <v>8</v>
      </c>
      <c r="S12" s="1459">
        <f t="shared" si="0"/>
        <v>101</v>
      </c>
      <c r="T12" s="1458" t="s">
        <v>8</v>
      </c>
      <c r="U12" s="1459">
        <f t="shared" si="1"/>
        <v>101</v>
      </c>
      <c r="V12" s="1458" t="s">
        <v>8</v>
      </c>
      <c r="W12" s="1459">
        <f t="shared" si="2"/>
        <v>101</v>
      </c>
      <c r="X12" s="1460"/>
      <c r="Y12" s="3681"/>
      <c r="Z12" s="1096" t="str">
        <f t="shared" si="7"/>
        <v>土地使用年限（年）</v>
      </c>
      <c r="AA12" s="1461">
        <f t="shared" si="3"/>
        <v>0.99009900990099009</v>
      </c>
      <c r="AB12" s="1461">
        <f t="shared" si="4"/>
        <v>0.99009900990099009</v>
      </c>
      <c r="AC12" s="1461">
        <f t="shared" si="5"/>
        <v>0.99009900990099009</v>
      </c>
    </row>
    <row r="13" spans="1:30" ht="21" thickBot="1">
      <c r="A13" s="2555"/>
      <c r="B13" s="2559" t="s">
        <v>2474</v>
      </c>
      <c r="C13" s="511">
        <f>'数据-汇总表'!I6</f>
        <v>2.5</v>
      </c>
      <c r="D13" s="253">
        <v>100</v>
      </c>
      <c r="E13" s="510">
        <v>2.5</v>
      </c>
      <c r="F13" s="253">
        <f>LOOKUP(E13,81:81,82:82)-LOOKUP(C13,81:81,82:82)+100</f>
        <v>100</v>
      </c>
      <c r="G13" s="511">
        <v>2.2999999999999998</v>
      </c>
      <c r="H13" s="253">
        <f>LOOKUP(G13,81:81,82:82)-LOOKUP(C13,81:81,82:82)+100</f>
        <v>100</v>
      </c>
      <c r="I13" s="510">
        <v>2.5</v>
      </c>
      <c r="J13" s="253">
        <f>LOOKUP(I13,81:81,82:82)-LOOKUP(C13,81:81,82:82)+100</f>
        <v>100</v>
      </c>
      <c r="K13" s="512">
        <v>2</v>
      </c>
      <c r="L13" s="1976"/>
      <c r="M13" s="1968"/>
      <c r="N13" s="1968"/>
      <c r="O13" s="1977"/>
      <c r="P13" s="3737"/>
      <c r="Q13" s="1097" t="str">
        <f t="shared" si="6"/>
        <v>容积率</v>
      </c>
      <c r="R13" s="1458" t="s">
        <v>8</v>
      </c>
      <c r="S13" s="1459">
        <f t="shared" si="0"/>
        <v>100</v>
      </c>
      <c r="T13" s="1458" t="s">
        <v>8</v>
      </c>
      <c r="U13" s="1459">
        <f t="shared" si="1"/>
        <v>100</v>
      </c>
      <c r="V13" s="1458" t="s">
        <v>8</v>
      </c>
      <c r="W13" s="1459">
        <f t="shared" si="2"/>
        <v>100</v>
      </c>
      <c r="X13" s="1460"/>
      <c r="Y13" s="3681"/>
      <c r="Z13" s="1096" t="str">
        <f t="shared" si="7"/>
        <v>容积率</v>
      </c>
      <c r="AA13" s="1461">
        <f t="shared" si="3"/>
        <v>1</v>
      </c>
      <c r="AB13" s="1461">
        <f t="shared" si="4"/>
        <v>1</v>
      </c>
      <c r="AC13" s="1461">
        <f t="shared" si="5"/>
        <v>1</v>
      </c>
    </row>
    <row r="14" spans="1:30" s="1166" customFormat="1" ht="21" hidden="1" thickBot="1">
      <c r="A14" s="2552"/>
      <c r="B14" s="2561" t="s">
        <v>2475</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737"/>
      <c r="Q14" s="1097" t="str">
        <f t="shared" si="6"/>
        <v>配建</v>
      </c>
      <c r="R14" s="1458" t="s">
        <v>8</v>
      </c>
      <c r="S14" s="1459">
        <f t="shared" si="0"/>
        <v>100</v>
      </c>
      <c r="T14" s="1458" t="s">
        <v>8</v>
      </c>
      <c r="U14" s="1459">
        <f t="shared" si="1"/>
        <v>100</v>
      </c>
      <c r="V14" s="1458" t="s">
        <v>8</v>
      </c>
      <c r="W14" s="1459">
        <f t="shared" si="2"/>
        <v>100</v>
      </c>
      <c r="X14" s="1460"/>
      <c r="Y14" s="3681"/>
      <c r="Z14" s="1096" t="str">
        <f t="shared" si="7"/>
        <v>配建</v>
      </c>
      <c r="AA14" s="1461">
        <f>D14/F14</f>
        <v>1</v>
      </c>
      <c r="AB14" s="1461">
        <f>D14/H14</f>
        <v>1</v>
      </c>
      <c r="AC14" s="1461">
        <f>D14/J14</f>
        <v>1</v>
      </c>
    </row>
    <row r="15" spans="1:30" ht="20.25" hidden="1">
      <c r="A15" s="2556"/>
      <c r="B15" s="2562">
        <v>111</v>
      </c>
      <c r="C15" s="883"/>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737"/>
      <c r="Q15" s="1097">
        <f t="shared" si="6"/>
        <v>111</v>
      </c>
      <c r="R15" s="1458" t="s">
        <v>8</v>
      </c>
      <c r="S15" s="1459">
        <f t="shared" si="0"/>
        <v>100</v>
      </c>
      <c r="T15" s="1458" t="s">
        <v>8</v>
      </c>
      <c r="U15" s="1459">
        <f t="shared" si="1"/>
        <v>100</v>
      </c>
      <c r="V15" s="1458" t="s">
        <v>8</v>
      </c>
      <c r="W15" s="1459">
        <f t="shared" si="2"/>
        <v>100</v>
      </c>
      <c r="X15" s="1460"/>
      <c r="Y15" s="3681"/>
      <c r="Z15" s="1096">
        <f t="shared" si="7"/>
        <v>111</v>
      </c>
      <c r="AA15" s="1461">
        <f>D15/F15</f>
        <v>1</v>
      </c>
      <c r="AB15" s="1461">
        <f>D15/H15</f>
        <v>1</v>
      </c>
      <c r="AC15" s="1461">
        <f>D15/J15</f>
        <v>1</v>
      </c>
    </row>
    <row r="16" spans="1:30" ht="21" hidden="1"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737"/>
      <c r="Q16" s="1097">
        <f t="shared" si="6"/>
        <v>111</v>
      </c>
      <c r="R16" s="1458" t="s">
        <v>8</v>
      </c>
      <c r="S16" s="1459">
        <f t="shared" si="0"/>
        <v>100</v>
      </c>
      <c r="T16" s="1458" t="s">
        <v>8</v>
      </c>
      <c r="U16" s="1459">
        <f t="shared" si="1"/>
        <v>100</v>
      </c>
      <c r="V16" s="1458" t="s">
        <v>8</v>
      </c>
      <c r="W16" s="1459">
        <f t="shared" si="2"/>
        <v>100</v>
      </c>
      <c r="X16" s="1460"/>
      <c r="Y16" s="3681"/>
      <c r="Z16" s="1096">
        <f t="shared" si="7"/>
        <v>111</v>
      </c>
      <c r="AA16" s="1461">
        <f>D16/F16</f>
        <v>1</v>
      </c>
      <c r="AB16" s="1461">
        <f>D16/H16</f>
        <v>1</v>
      </c>
      <c r="AC16" s="1461">
        <f>D16/J16</f>
        <v>1</v>
      </c>
    </row>
    <row r="17" spans="1:29" ht="99.75">
      <c r="A17" s="2549"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v>5</v>
      </c>
      <c r="L17" s="1978"/>
      <c r="M17" s="1968"/>
      <c r="N17" s="1968"/>
      <c r="O17" s="1977"/>
      <c r="P17" s="3770" t="s">
        <v>523</v>
      </c>
      <c r="Q17" s="1462" t="str">
        <f t="shared" si="6"/>
        <v>居住社区成熟度</v>
      </c>
      <c r="R17" s="1463" t="s">
        <v>8</v>
      </c>
      <c r="S17" s="1464">
        <f t="shared" si="0"/>
        <v>100</v>
      </c>
      <c r="T17" s="1463" t="s">
        <v>8</v>
      </c>
      <c r="U17" s="1464">
        <f t="shared" si="1"/>
        <v>100</v>
      </c>
      <c r="V17" s="1463" t="s">
        <v>8</v>
      </c>
      <c r="W17" s="1464">
        <f t="shared" si="2"/>
        <v>100</v>
      </c>
      <c r="X17" s="1457"/>
      <c r="Y17" s="3770" t="s">
        <v>523</v>
      </c>
      <c r="Z17" s="1465" t="str">
        <f t="shared" si="7"/>
        <v>居住社区成熟度</v>
      </c>
      <c r="AA17" s="1466">
        <f t="shared" si="3"/>
        <v>1</v>
      </c>
      <c r="AB17" s="1466">
        <f t="shared" si="4"/>
        <v>1</v>
      </c>
      <c r="AC17" s="1466">
        <f t="shared" si="5"/>
        <v>1</v>
      </c>
    </row>
    <row r="18" spans="1:29" ht="20.25">
      <c r="A18" s="509"/>
      <c r="B18" s="530"/>
      <c r="C18" s="531" t="s">
        <v>3374</v>
      </c>
      <c r="D18" s="534"/>
      <c r="E18" s="531" t="s">
        <v>3374</v>
      </c>
      <c r="F18" s="532"/>
      <c r="G18" s="531" t="s">
        <v>3374</v>
      </c>
      <c r="H18" s="536"/>
      <c r="I18" s="531" t="s">
        <v>3374</v>
      </c>
      <c r="J18" s="532"/>
      <c r="K18" s="508"/>
      <c r="L18" s="1978"/>
      <c r="M18" s="1968"/>
      <c r="N18" s="1968"/>
      <c r="O18" s="1977"/>
      <c r="P18" s="3771"/>
      <c r="Q18" s="1462"/>
      <c r="R18" s="1463"/>
      <c r="S18" s="1464"/>
      <c r="T18" s="1463"/>
      <c r="U18" s="1464"/>
      <c r="V18" s="1463"/>
      <c r="W18" s="1464"/>
      <c r="X18" s="1457"/>
      <c r="Y18" s="3771"/>
      <c r="Z18" s="1465"/>
      <c r="AA18" s="1466">
        <v>1</v>
      </c>
      <c r="AB18" s="1466">
        <v>1</v>
      </c>
      <c r="AC18" s="1466">
        <v>1</v>
      </c>
    </row>
    <row r="19" spans="1:29" ht="71.25" hidden="1">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771"/>
      <c r="Q19" s="1462" t="str">
        <f>B19</f>
        <v>商业繁华度</v>
      </c>
      <c r="R19" s="1463" t="s">
        <v>8</v>
      </c>
      <c r="S19" s="1464">
        <f>F19</f>
        <v>100</v>
      </c>
      <c r="T19" s="1463" t="s">
        <v>8</v>
      </c>
      <c r="U19" s="1464">
        <f>H19</f>
        <v>100</v>
      </c>
      <c r="V19" s="1463" t="s">
        <v>8</v>
      </c>
      <c r="W19" s="1464">
        <f>J19</f>
        <v>100</v>
      </c>
      <c r="X19" s="1457"/>
      <c r="Y19" s="3771"/>
      <c r="Z19" s="1465" t="str">
        <f>Q19</f>
        <v>商业繁华度</v>
      </c>
      <c r="AA19" s="1466">
        <f t="shared" si="3"/>
        <v>1</v>
      </c>
      <c r="AB19" s="1466">
        <f t="shared" si="4"/>
        <v>1</v>
      </c>
      <c r="AC19" s="1466">
        <f t="shared" si="5"/>
        <v>1</v>
      </c>
    </row>
    <row r="20" spans="1:29" ht="20.25" hidden="1">
      <c r="A20" s="509"/>
      <c r="B20" s="543"/>
      <c r="C20" s="544"/>
      <c r="D20" s="540"/>
      <c r="E20" s="546"/>
      <c r="F20" s="536"/>
      <c r="G20" s="545"/>
      <c r="H20" s="532"/>
      <c r="I20" s="546"/>
      <c r="J20" s="532"/>
      <c r="K20" s="508"/>
      <c r="L20" s="1978"/>
      <c r="M20" s="1968"/>
      <c r="N20" s="1968"/>
      <c r="O20" s="1977"/>
      <c r="P20" s="3771"/>
      <c r="Q20" s="1462"/>
      <c r="R20" s="1463"/>
      <c r="S20" s="1464"/>
      <c r="T20" s="1463"/>
      <c r="U20" s="1464"/>
      <c r="V20" s="1463"/>
      <c r="W20" s="1464"/>
      <c r="X20" s="1457"/>
      <c r="Y20" s="3771"/>
      <c r="Z20" s="1465"/>
      <c r="AA20" s="1466">
        <v>1</v>
      </c>
      <c r="AB20" s="1466">
        <v>1</v>
      </c>
      <c r="AC20" s="1466">
        <v>1</v>
      </c>
    </row>
    <row r="21" spans="1:29" ht="71.25" hidden="1">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771"/>
      <c r="Q21" s="1462" t="str">
        <f>B21</f>
        <v>办公集聚程度</v>
      </c>
      <c r="R21" s="1463" t="s">
        <v>8</v>
      </c>
      <c r="S21" s="1464">
        <f>F21</f>
        <v>100</v>
      </c>
      <c r="T21" s="1463" t="s">
        <v>8</v>
      </c>
      <c r="U21" s="1464">
        <f>H21</f>
        <v>100</v>
      </c>
      <c r="V21" s="1463" t="s">
        <v>8</v>
      </c>
      <c r="W21" s="1464">
        <f>J21</f>
        <v>100</v>
      </c>
      <c r="X21" s="1457"/>
      <c r="Y21" s="3771"/>
      <c r="Z21" s="1465" t="str">
        <f>Q21</f>
        <v>办公集聚程度</v>
      </c>
      <c r="AA21" s="1466">
        <f t="shared" si="3"/>
        <v>1</v>
      </c>
      <c r="AB21" s="1466">
        <f t="shared" si="4"/>
        <v>1</v>
      </c>
      <c r="AC21" s="1466">
        <f t="shared" si="5"/>
        <v>1</v>
      </c>
    </row>
    <row r="22" spans="1:29" ht="20.25" hidden="1">
      <c r="A22" s="509"/>
      <c r="B22" s="543"/>
      <c r="C22" s="531"/>
      <c r="D22" s="534"/>
      <c r="E22" s="535"/>
      <c r="F22" s="532"/>
      <c r="G22" s="533"/>
      <c r="H22" s="532"/>
      <c r="I22" s="535"/>
      <c r="J22" s="532"/>
      <c r="K22" s="508"/>
      <c r="L22" s="1978"/>
      <c r="M22" s="1968"/>
      <c r="N22" s="1968"/>
      <c r="O22" s="1977"/>
      <c r="P22" s="3771"/>
      <c r="Q22" s="1462"/>
      <c r="R22" s="1463"/>
      <c r="S22" s="1464"/>
      <c r="T22" s="1463"/>
      <c r="U22" s="1464"/>
      <c r="V22" s="1463"/>
      <c r="W22" s="1464"/>
      <c r="X22" s="1457"/>
      <c r="Y22" s="3771"/>
      <c r="Z22" s="1465"/>
      <c r="AA22" s="1466">
        <v>1</v>
      </c>
      <c r="AB22" s="1466">
        <v>1</v>
      </c>
      <c r="AC22" s="1466">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v>2</v>
      </c>
      <c r="L23" s="1978"/>
      <c r="M23" s="1968"/>
      <c r="N23" s="1968"/>
      <c r="O23" s="1977"/>
      <c r="P23" s="3771"/>
      <c r="Q23" s="1462" t="str">
        <f>B23</f>
        <v>交通便捷度</v>
      </c>
      <c r="R23" s="1463" t="s">
        <v>8</v>
      </c>
      <c r="S23" s="1464">
        <f>F23</f>
        <v>100</v>
      </c>
      <c r="T23" s="1463" t="s">
        <v>8</v>
      </c>
      <c r="U23" s="1464">
        <f>H23</f>
        <v>100</v>
      </c>
      <c r="V23" s="1463" t="s">
        <v>8</v>
      </c>
      <c r="W23" s="1464">
        <f>J23</f>
        <v>100</v>
      </c>
      <c r="X23" s="1457"/>
      <c r="Y23" s="3771"/>
      <c r="Z23" s="1465" t="str">
        <f>Q23</f>
        <v>交通便捷度</v>
      </c>
      <c r="AA23" s="1466">
        <f t="shared" si="3"/>
        <v>1</v>
      </c>
      <c r="AB23" s="1466">
        <f t="shared" si="4"/>
        <v>1</v>
      </c>
      <c r="AC23" s="1466">
        <f t="shared" si="5"/>
        <v>1</v>
      </c>
    </row>
    <row r="24" spans="1:29" ht="20.25">
      <c r="A24" s="509"/>
      <c r="B24" s="555"/>
      <c r="C24" s="531" t="s">
        <v>3374</v>
      </c>
      <c r="D24" s="534"/>
      <c r="E24" s="531" t="s">
        <v>3374</v>
      </c>
      <c r="F24" s="532"/>
      <c r="G24" s="531" t="s">
        <v>3374</v>
      </c>
      <c r="H24" s="532"/>
      <c r="I24" s="531" t="s">
        <v>3374</v>
      </c>
      <c r="J24" s="532"/>
      <c r="K24" s="508"/>
      <c r="L24" s="1978"/>
      <c r="M24" s="1968"/>
      <c r="N24" s="1968"/>
      <c r="O24" s="1977"/>
      <c r="P24" s="3771"/>
      <c r="Q24" s="1462"/>
      <c r="R24" s="1463"/>
      <c r="S24" s="1464"/>
      <c r="T24" s="1463"/>
      <c r="U24" s="1464"/>
      <c r="V24" s="1463"/>
      <c r="W24" s="1464"/>
      <c r="X24" s="1457"/>
      <c r="Y24" s="3771"/>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8"/>
      <c r="M25" s="1968"/>
      <c r="N25" s="1968"/>
      <c r="O25" s="1977"/>
      <c r="P25" s="3771"/>
      <c r="Q25" s="1462" t="str">
        <f t="shared" ref="Q25:Q39" si="8">B25</f>
        <v>区域土地利用方向</v>
      </c>
      <c r="R25" s="1463" t="s">
        <v>8</v>
      </c>
      <c r="S25" s="1464">
        <f>F25</f>
        <v>100</v>
      </c>
      <c r="T25" s="1463" t="s">
        <v>8</v>
      </c>
      <c r="U25" s="1464">
        <f>H25</f>
        <v>100</v>
      </c>
      <c r="V25" s="1463" t="s">
        <v>8</v>
      </c>
      <c r="W25" s="1464">
        <f>J25</f>
        <v>100</v>
      </c>
      <c r="X25" s="1457"/>
      <c r="Y25" s="3771"/>
      <c r="Z25" s="1465" t="str">
        <f>Q25</f>
        <v>区域土地利用方向</v>
      </c>
      <c r="AA25" s="1466">
        <f t="shared" si="3"/>
        <v>1</v>
      </c>
      <c r="AB25" s="1466">
        <f t="shared" si="4"/>
        <v>1</v>
      </c>
      <c r="AC25" s="1466">
        <f t="shared" si="5"/>
        <v>1</v>
      </c>
    </row>
    <row r="26" spans="1:29" ht="20.25">
      <c r="A26" s="492"/>
      <c r="B26" s="976"/>
      <c r="C26" s="531" t="s">
        <v>3374</v>
      </c>
      <c r="D26" s="534"/>
      <c r="E26" s="531" t="s">
        <v>3374</v>
      </c>
      <c r="F26" s="532"/>
      <c r="G26" s="531" t="s">
        <v>3374</v>
      </c>
      <c r="H26" s="532"/>
      <c r="I26" s="531" t="s">
        <v>3374</v>
      </c>
      <c r="J26" s="532"/>
      <c r="K26" s="508"/>
      <c r="L26" s="1978"/>
      <c r="M26" s="1968"/>
      <c r="N26" s="1968"/>
      <c r="O26" s="1977"/>
      <c r="P26" s="3771"/>
      <c r="Q26" s="1462"/>
      <c r="R26" s="1463"/>
      <c r="S26" s="1464"/>
      <c r="T26" s="1463"/>
      <c r="U26" s="1464"/>
      <c r="V26" s="1463"/>
      <c r="W26" s="1464"/>
      <c r="X26" s="1457"/>
      <c r="Y26" s="3771"/>
      <c r="Z26" s="1465"/>
      <c r="AA26" s="1466"/>
      <c r="AB26" s="1466"/>
      <c r="AC26" s="1466"/>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v>2</v>
      </c>
      <c r="L27" s="1978"/>
      <c r="M27" s="1968"/>
      <c r="N27" s="1968"/>
      <c r="O27" s="1977"/>
      <c r="P27" s="3771"/>
      <c r="Q27" s="1462" t="str">
        <f t="shared" si="8"/>
        <v>自然及人文环境状况</v>
      </c>
      <c r="R27" s="1463" t="s">
        <v>8</v>
      </c>
      <c r="S27" s="1464">
        <f>F27</f>
        <v>100</v>
      </c>
      <c r="T27" s="1463" t="s">
        <v>8</v>
      </c>
      <c r="U27" s="1464">
        <f>H27</f>
        <v>100</v>
      </c>
      <c r="V27" s="1463" t="s">
        <v>8</v>
      </c>
      <c r="W27" s="1464">
        <f>J27</f>
        <v>100</v>
      </c>
      <c r="X27" s="1457"/>
      <c r="Y27" s="3771"/>
      <c r="Z27" s="1465" t="str">
        <f>Q27</f>
        <v>自然及人文环境状况</v>
      </c>
      <c r="AA27" s="1466">
        <f t="shared" si="3"/>
        <v>1</v>
      </c>
      <c r="AB27" s="1466">
        <f t="shared" si="4"/>
        <v>1</v>
      </c>
      <c r="AC27" s="1466">
        <f t="shared" si="5"/>
        <v>1</v>
      </c>
    </row>
    <row r="28" spans="1:29" ht="20.25">
      <c r="A28" s="492"/>
      <c r="B28" s="543"/>
      <c r="C28" s="531" t="s">
        <v>3374</v>
      </c>
      <c r="D28" s="534"/>
      <c r="E28" s="531" t="s">
        <v>3374</v>
      </c>
      <c r="F28" s="532"/>
      <c r="G28" s="531" t="s">
        <v>3374</v>
      </c>
      <c r="H28" s="532"/>
      <c r="I28" s="531" t="s">
        <v>3374</v>
      </c>
      <c r="J28" s="532"/>
      <c r="K28" s="508"/>
      <c r="L28" s="1978"/>
      <c r="M28" s="1968"/>
      <c r="N28" s="1968"/>
      <c r="O28" s="1977"/>
      <c r="P28" s="3771"/>
      <c r="Q28" s="1462"/>
      <c r="R28" s="1463"/>
      <c r="S28" s="1464"/>
      <c r="T28" s="1463"/>
      <c r="U28" s="1464"/>
      <c r="V28" s="1463"/>
      <c r="W28" s="1464"/>
      <c r="X28" s="1457"/>
      <c r="Y28" s="3771"/>
      <c r="Z28" s="1465"/>
      <c r="AA28" s="1466">
        <v>1</v>
      </c>
      <c r="AB28" s="1466">
        <v>1</v>
      </c>
      <c r="AC28" s="1466">
        <v>1</v>
      </c>
    </row>
    <row r="29" spans="1:29" s="1166" customFormat="1" ht="42.75">
      <c r="A29" s="554"/>
      <c r="B29" s="2357"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v>2</v>
      </c>
      <c r="L29" s="1971"/>
      <c r="M29" s="1968"/>
      <c r="N29" s="1968"/>
      <c r="O29" s="1973"/>
      <c r="P29" s="3771"/>
      <c r="Q29" s="1097" t="str">
        <f t="shared" si="8"/>
        <v>公共配套设施</v>
      </c>
      <c r="R29" s="1458" t="s">
        <v>8</v>
      </c>
      <c r="S29" s="1459">
        <f>F29</f>
        <v>100</v>
      </c>
      <c r="T29" s="1458" t="s">
        <v>8</v>
      </c>
      <c r="U29" s="1459">
        <f>H29</f>
        <v>100</v>
      </c>
      <c r="V29" s="1458" t="s">
        <v>8</v>
      </c>
      <c r="W29" s="1459">
        <f>J29</f>
        <v>100</v>
      </c>
      <c r="X29" s="1460"/>
      <c r="Y29" s="3771"/>
      <c r="Z29" s="1096" t="str">
        <f>Q29</f>
        <v>公共配套设施</v>
      </c>
      <c r="AA29" s="1466">
        <f>D29/F29</f>
        <v>1</v>
      </c>
      <c r="AB29" s="1466">
        <f>D29/H29</f>
        <v>1</v>
      </c>
      <c r="AC29" s="1466">
        <f>D29/J29</f>
        <v>1</v>
      </c>
    </row>
    <row r="30" spans="1:29" s="1166" customFormat="1" ht="20.25">
      <c r="A30" s="554"/>
      <c r="B30" s="543"/>
      <c r="C30" s="556" t="s">
        <v>3375</v>
      </c>
      <c r="D30" s="534"/>
      <c r="E30" s="556" t="s">
        <v>3375</v>
      </c>
      <c r="F30" s="532"/>
      <c r="G30" s="556" t="s">
        <v>3375</v>
      </c>
      <c r="H30" s="532"/>
      <c r="I30" s="556" t="s">
        <v>3375</v>
      </c>
      <c r="J30" s="532"/>
      <c r="K30" s="508"/>
      <c r="L30" s="1971"/>
      <c r="M30" s="1968"/>
      <c r="N30" s="1968"/>
      <c r="O30" s="1973"/>
      <c r="P30" s="3771"/>
      <c r="Q30" s="1097"/>
      <c r="R30" s="1458"/>
      <c r="S30" s="1459"/>
      <c r="T30" s="1458"/>
      <c r="U30" s="1459"/>
      <c r="V30" s="1458"/>
      <c r="W30" s="1459"/>
      <c r="X30" s="1460"/>
      <c r="Y30" s="3771"/>
      <c r="Z30" s="1096"/>
      <c r="AA30" s="1466">
        <v>1</v>
      </c>
      <c r="AB30" s="1466">
        <v>1</v>
      </c>
      <c r="AC30" s="1466">
        <v>1</v>
      </c>
    </row>
    <row r="31" spans="1:29" s="1166" customFormat="1" ht="28.5">
      <c r="A31" s="554"/>
      <c r="B31" s="2357"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v>1</v>
      </c>
      <c r="L31" s="1971"/>
      <c r="M31" s="1968"/>
      <c r="N31" s="1968"/>
      <c r="O31" s="1973"/>
      <c r="P31" s="3771"/>
      <c r="Q31" s="2350" t="str">
        <f t="shared" ref="Q31" si="9">B31</f>
        <v>基础设施水平</v>
      </c>
      <c r="R31" s="1458" t="s">
        <v>8</v>
      </c>
      <c r="S31" s="1459">
        <f>F31</f>
        <v>100</v>
      </c>
      <c r="T31" s="1458" t="s">
        <v>8</v>
      </c>
      <c r="U31" s="1459">
        <f>H31</f>
        <v>100</v>
      </c>
      <c r="V31" s="1458" t="s">
        <v>8</v>
      </c>
      <c r="W31" s="1459">
        <f>J31</f>
        <v>100</v>
      </c>
      <c r="X31" s="1460"/>
      <c r="Y31" s="3771"/>
      <c r="Z31" s="2349" t="str">
        <f>Q31</f>
        <v>基础设施水平</v>
      </c>
      <c r="AA31" s="1466">
        <f>D31/F31</f>
        <v>1</v>
      </c>
      <c r="AB31" s="1466">
        <f>D31/H31</f>
        <v>1</v>
      </c>
      <c r="AC31" s="1466">
        <f>D31/J31</f>
        <v>1</v>
      </c>
    </row>
    <row r="32" spans="1:29" s="1166" customFormat="1" ht="21" thickBot="1">
      <c r="A32" s="554"/>
      <c r="B32" s="543"/>
      <c r="C32" s="556" t="s">
        <v>3992</v>
      </c>
      <c r="D32" s="534"/>
      <c r="E32" s="556" t="s">
        <v>3992</v>
      </c>
      <c r="F32" s="532"/>
      <c r="G32" s="556" t="s">
        <v>3992</v>
      </c>
      <c r="H32" s="532"/>
      <c r="I32" s="556" t="s">
        <v>3992</v>
      </c>
      <c r="J32" s="532"/>
      <c r="K32" s="508"/>
      <c r="L32" s="1971"/>
      <c r="M32" s="1968"/>
      <c r="N32" s="1968"/>
      <c r="O32" s="1973"/>
      <c r="P32" s="3771"/>
      <c r="Q32" s="2350"/>
      <c r="R32" s="1458"/>
      <c r="S32" s="1459"/>
      <c r="T32" s="1458"/>
      <c r="U32" s="1459"/>
      <c r="V32" s="1458"/>
      <c r="W32" s="1459"/>
      <c r="X32" s="1460"/>
      <c r="Y32" s="3771"/>
      <c r="Z32" s="2349"/>
      <c r="AA32" s="1466">
        <v>1</v>
      </c>
      <c r="AB32" s="1466">
        <v>1</v>
      </c>
      <c r="AC32" s="1466">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771"/>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771"/>
      <c r="Z33" s="1465" t="str">
        <f t="shared" ref="Z33:Z47" si="13">Q33</f>
        <v>临街状况</v>
      </c>
      <c r="AA33" s="1466">
        <f t="shared" si="3"/>
        <v>1</v>
      </c>
      <c r="AB33" s="1466">
        <f t="shared" si="4"/>
        <v>1</v>
      </c>
      <c r="AC33" s="1466">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771"/>
      <c r="Q34" s="1462" t="str">
        <f t="shared" si="8"/>
        <v>毗邻道路的类型与等级</v>
      </c>
      <c r="R34" s="1463" t="s">
        <v>8</v>
      </c>
      <c r="S34" s="1464">
        <f t="shared" si="10"/>
        <v>100</v>
      </c>
      <c r="T34" s="1463" t="s">
        <v>8</v>
      </c>
      <c r="U34" s="1464">
        <f t="shared" si="11"/>
        <v>100</v>
      </c>
      <c r="V34" s="1463" t="s">
        <v>8</v>
      </c>
      <c r="W34" s="1464">
        <f t="shared" si="12"/>
        <v>100</v>
      </c>
      <c r="X34" s="1457"/>
      <c r="Y34" s="3771"/>
      <c r="Z34" s="1465" t="str">
        <f t="shared" si="13"/>
        <v>毗邻道路的类型与等级</v>
      </c>
      <c r="AA34" s="1466">
        <f t="shared" si="3"/>
        <v>1</v>
      </c>
      <c r="AB34" s="1466">
        <f t="shared" si="4"/>
        <v>1</v>
      </c>
      <c r="AC34" s="1466">
        <f t="shared" si="5"/>
        <v>1</v>
      </c>
    </row>
    <row r="35" spans="1:29" ht="21" hidden="1" thickBot="1">
      <c r="A35" s="509"/>
      <c r="B35" s="543"/>
      <c r="C35" s="531"/>
      <c r="D35" s="534"/>
      <c r="E35" s="553"/>
      <c r="F35" s="532"/>
      <c r="G35" s="531"/>
      <c r="H35" s="532"/>
      <c r="I35" s="553"/>
      <c r="J35" s="532"/>
      <c r="K35" s="558"/>
      <c r="L35" s="1978"/>
      <c r="M35" s="1968"/>
      <c r="N35" s="1968"/>
      <c r="O35" s="1977"/>
      <c r="P35" s="3771"/>
      <c r="Q35" s="1462"/>
      <c r="R35" s="1463"/>
      <c r="S35" s="1464"/>
      <c r="T35" s="1463"/>
      <c r="U35" s="1464"/>
      <c r="V35" s="1463"/>
      <c r="W35" s="1464"/>
      <c r="X35" s="1457"/>
      <c r="Y35" s="3771"/>
      <c r="Z35" s="1465"/>
      <c r="AA35" s="1466">
        <v>1</v>
      </c>
      <c r="AB35" s="1466">
        <v>1</v>
      </c>
      <c r="AC35" s="1466">
        <v>1</v>
      </c>
    </row>
    <row r="36" spans="1:29" ht="21" hidden="1" thickBot="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771"/>
      <c r="Q36" s="1462" t="str">
        <f t="shared" si="8"/>
        <v>土地级别</v>
      </c>
      <c r="R36" s="1463" t="s">
        <v>8</v>
      </c>
      <c r="S36" s="1464">
        <f t="shared" si="10"/>
        <v>100</v>
      </c>
      <c r="T36" s="1463" t="s">
        <v>8</v>
      </c>
      <c r="U36" s="1464">
        <f t="shared" si="11"/>
        <v>100</v>
      </c>
      <c r="V36" s="1463" t="s">
        <v>8</v>
      </c>
      <c r="W36" s="1464">
        <f t="shared" si="12"/>
        <v>100</v>
      </c>
      <c r="X36" s="1457"/>
      <c r="Y36" s="3771"/>
      <c r="Z36" s="1465" t="str">
        <f t="shared" si="13"/>
        <v>土地级别</v>
      </c>
      <c r="AA36" s="1466">
        <f t="shared" si="3"/>
        <v>1</v>
      </c>
      <c r="AB36" s="1466">
        <f t="shared" si="4"/>
        <v>1</v>
      </c>
      <c r="AC36" s="1466">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771"/>
      <c r="Q37" s="1462">
        <f t="shared" si="8"/>
        <v>111</v>
      </c>
      <c r="R37" s="1463" t="s">
        <v>8</v>
      </c>
      <c r="S37" s="1464">
        <f t="shared" si="10"/>
        <v>100</v>
      </c>
      <c r="T37" s="1463" t="s">
        <v>8</v>
      </c>
      <c r="U37" s="1464">
        <f t="shared" si="11"/>
        <v>100</v>
      </c>
      <c r="V37" s="1463" t="s">
        <v>8</v>
      </c>
      <c r="W37" s="1464">
        <f t="shared" si="12"/>
        <v>100</v>
      </c>
      <c r="X37" s="1457"/>
      <c r="Y37" s="3771"/>
      <c r="Z37" s="1465">
        <f t="shared" si="13"/>
        <v>111</v>
      </c>
      <c r="AA37" s="1466">
        <f t="shared" si="3"/>
        <v>1</v>
      </c>
      <c r="AB37" s="1466">
        <f t="shared" si="4"/>
        <v>1</v>
      </c>
      <c r="AC37" s="1466">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772" t="s">
        <v>533</v>
      </c>
      <c r="Q38" s="1462">
        <f t="shared" si="8"/>
        <v>111</v>
      </c>
      <c r="R38" s="1463" t="s">
        <v>8</v>
      </c>
      <c r="S38" s="1464">
        <f t="shared" si="10"/>
        <v>100</v>
      </c>
      <c r="T38" s="1463" t="s">
        <v>8</v>
      </c>
      <c r="U38" s="1464">
        <f t="shared" si="11"/>
        <v>100</v>
      </c>
      <c r="V38" s="1463" t="s">
        <v>8</v>
      </c>
      <c r="W38" s="1464">
        <f t="shared" si="12"/>
        <v>100</v>
      </c>
      <c r="X38" s="1457"/>
      <c r="Y38" s="3773" t="s">
        <v>533</v>
      </c>
      <c r="Z38" s="1465">
        <f t="shared" si="13"/>
        <v>111</v>
      </c>
      <c r="AA38" s="1466">
        <f t="shared" si="3"/>
        <v>1</v>
      </c>
      <c r="AB38" s="1466">
        <f t="shared" si="4"/>
        <v>1</v>
      </c>
      <c r="AC38" s="1466">
        <f t="shared" si="5"/>
        <v>1</v>
      </c>
    </row>
    <row r="39" spans="1:29" s="1248"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773"/>
      <c r="Q39" s="1462">
        <f t="shared" si="8"/>
        <v>111</v>
      </c>
      <c r="R39" s="1467" t="s">
        <v>8</v>
      </c>
      <c r="S39" s="1468">
        <f t="shared" si="10"/>
        <v>100</v>
      </c>
      <c r="T39" s="1467" t="s">
        <v>8</v>
      </c>
      <c r="U39" s="1468">
        <f t="shared" si="11"/>
        <v>100</v>
      </c>
      <c r="V39" s="1467" t="s">
        <v>8</v>
      </c>
      <c r="W39" s="1468">
        <f t="shared" si="12"/>
        <v>100</v>
      </c>
      <c r="X39" s="1469"/>
      <c r="Y39" s="3773"/>
      <c r="Z39" s="1470">
        <f t="shared" si="13"/>
        <v>111</v>
      </c>
      <c r="AA39" s="1466">
        <f t="shared" si="3"/>
        <v>1</v>
      </c>
      <c r="AB39" s="1466">
        <f t="shared" si="4"/>
        <v>1</v>
      </c>
      <c r="AC39" s="1466">
        <f t="shared" si="5"/>
        <v>1</v>
      </c>
    </row>
    <row r="40" spans="1:29" ht="20.25">
      <c r="A40" s="2546" t="s">
        <v>2471</v>
      </c>
      <c r="B40" s="572" t="s">
        <v>535</v>
      </c>
      <c r="C40" s="573">
        <f>'数据-汇总表'!D3</f>
        <v>64770.31</v>
      </c>
      <c r="D40" s="574">
        <v>100</v>
      </c>
      <c r="E40" s="573">
        <f>土地案例!E6</f>
        <v>29592.880000000001</v>
      </c>
      <c r="F40" s="574">
        <f>LOOKUP(E40,118:118,119:119)-LOOKUP(C40,118:118,119:119)+100</f>
        <v>99.5</v>
      </c>
      <c r="G40" s="573">
        <f>土地案例!E22</f>
        <v>19447.240000000002</v>
      </c>
      <c r="H40" s="574">
        <f>LOOKUP(G40,118:118,119:119)-LOOKUP(C40,118:118,119:119)+100</f>
        <v>99.5</v>
      </c>
      <c r="I40" s="575">
        <f>土地案例!E28</f>
        <v>67582.539999999994</v>
      </c>
      <c r="J40" s="574">
        <f>LOOKUP(I40,118:118,119:119)-LOOKUP(C40,118:118,119:119)+100</f>
        <v>100</v>
      </c>
      <c r="K40" s="558"/>
      <c r="L40" s="1978"/>
      <c r="M40" s="1968"/>
      <c r="N40" s="1968"/>
      <c r="O40" s="1977"/>
      <c r="P40" s="3773"/>
      <c r="Q40" s="1462" t="str">
        <f>B40</f>
        <v>宗地面积</v>
      </c>
      <c r="R40" s="1463" t="s">
        <v>8</v>
      </c>
      <c r="S40" s="1464">
        <f t="shared" si="10"/>
        <v>99.5</v>
      </c>
      <c r="T40" s="1463" t="s">
        <v>8</v>
      </c>
      <c r="U40" s="1464">
        <f t="shared" si="11"/>
        <v>99.5</v>
      </c>
      <c r="V40" s="1463" t="s">
        <v>8</v>
      </c>
      <c r="W40" s="1464">
        <f t="shared" si="12"/>
        <v>100</v>
      </c>
      <c r="X40" s="1457"/>
      <c r="Y40" s="3773"/>
      <c r="Z40" s="1465" t="str">
        <f t="shared" si="13"/>
        <v>宗地面积</v>
      </c>
      <c r="AA40" s="1466">
        <f t="shared" si="3"/>
        <v>1.0050251256281406</v>
      </c>
      <c r="AB40" s="1466">
        <f t="shared" si="4"/>
        <v>1.0050251256281406</v>
      </c>
      <c r="AC40" s="1466">
        <f t="shared" si="5"/>
        <v>1</v>
      </c>
    </row>
    <row r="41" spans="1:29" ht="20.25">
      <c r="A41" s="571"/>
      <c r="B41" s="504" t="s">
        <v>536</v>
      </c>
      <c r="C41" s="576" t="s">
        <v>3998</v>
      </c>
      <c r="D41" s="517">
        <v>100</v>
      </c>
      <c r="E41" s="576" t="s">
        <v>3999</v>
      </c>
      <c r="F41" s="517">
        <f>SUMIF(120:120,E41,121:121)-SUMIF(120:120,C41,121:121)+100</f>
        <v>104</v>
      </c>
      <c r="G41" s="576" t="s">
        <v>3999</v>
      </c>
      <c r="H41" s="517">
        <f>SUMIF(120:120,G41,121:121)-SUMIF(120:120,C41,121:121)+100</f>
        <v>104</v>
      </c>
      <c r="I41" s="576" t="s">
        <v>3999</v>
      </c>
      <c r="J41" s="517">
        <f>SUMIF(120:120,I41,121:121)-SUMIF(120:120,C41,121:121)+100</f>
        <v>104</v>
      </c>
      <c r="K41" s="561">
        <v>2</v>
      </c>
      <c r="L41" s="1978"/>
      <c r="M41" s="1968"/>
      <c r="N41" s="1968"/>
      <c r="O41" s="1977"/>
      <c r="P41" s="3773"/>
      <c r="Q41" s="1462" t="str">
        <f t="shared" ref="Q41:Q47" si="14">B41</f>
        <v>宗地形状</v>
      </c>
      <c r="R41" s="1463" t="s">
        <v>8</v>
      </c>
      <c r="S41" s="1464">
        <f t="shared" si="10"/>
        <v>104</v>
      </c>
      <c r="T41" s="1463" t="s">
        <v>8</v>
      </c>
      <c r="U41" s="1464">
        <f t="shared" si="11"/>
        <v>104</v>
      </c>
      <c r="V41" s="1463" t="s">
        <v>8</v>
      </c>
      <c r="W41" s="1464">
        <f t="shared" si="12"/>
        <v>104</v>
      </c>
      <c r="X41" s="1457"/>
      <c r="Y41" s="3773"/>
      <c r="Z41" s="1465" t="str">
        <f t="shared" si="13"/>
        <v>宗地形状</v>
      </c>
      <c r="AA41" s="1466">
        <f t="shared" si="3"/>
        <v>0.96153846153846156</v>
      </c>
      <c r="AB41" s="1466">
        <f t="shared" si="4"/>
        <v>0.96153846153846156</v>
      </c>
      <c r="AC41" s="1466">
        <f t="shared" si="5"/>
        <v>0.96153846153846156</v>
      </c>
    </row>
    <row r="42" spans="1:29" ht="20.25">
      <c r="A42" s="571"/>
      <c r="B42" s="504" t="s">
        <v>537</v>
      </c>
      <c r="C42" s="576" t="s">
        <v>4000</v>
      </c>
      <c r="D42" s="517">
        <v>100</v>
      </c>
      <c r="E42" s="576" t="s">
        <v>4000</v>
      </c>
      <c r="F42" s="517">
        <f>SUMIF(122:122,E42,123:123)-SUMIF(122:122,C42,123:123)+100</f>
        <v>100</v>
      </c>
      <c r="G42" s="576" t="s">
        <v>4000</v>
      </c>
      <c r="H42" s="517">
        <f>SUMIF(122:122,G42,123:123)-SUMIF(122:122,C42,123:123)+100</f>
        <v>100</v>
      </c>
      <c r="I42" s="576" t="s">
        <v>4000</v>
      </c>
      <c r="J42" s="517">
        <f>SUMIF(122:122,I42,123:123)-SUMIF(122:122,C42,123:123)+100</f>
        <v>100</v>
      </c>
      <c r="K42" s="561">
        <v>2</v>
      </c>
      <c r="L42" s="1978"/>
      <c r="M42" s="1968"/>
      <c r="N42" s="1968"/>
      <c r="O42" s="1977"/>
      <c r="P42" s="3773"/>
      <c r="Q42" s="1462" t="str">
        <f t="shared" si="14"/>
        <v>临街宽度及深度</v>
      </c>
      <c r="R42" s="1463" t="s">
        <v>8</v>
      </c>
      <c r="S42" s="1464">
        <f t="shared" si="10"/>
        <v>100</v>
      </c>
      <c r="T42" s="1463" t="s">
        <v>8</v>
      </c>
      <c r="U42" s="1464">
        <f t="shared" si="11"/>
        <v>100</v>
      </c>
      <c r="V42" s="1463" t="s">
        <v>8</v>
      </c>
      <c r="W42" s="1464">
        <f t="shared" si="12"/>
        <v>100</v>
      </c>
      <c r="X42" s="1457"/>
      <c r="Y42" s="3773"/>
      <c r="Z42" s="1465" t="str">
        <f t="shared" si="13"/>
        <v>临街宽度及深度</v>
      </c>
      <c r="AA42" s="1466">
        <f t="shared" si="3"/>
        <v>1</v>
      </c>
      <c r="AB42" s="1466">
        <f t="shared" si="4"/>
        <v>1</v>
      </c>
      <c r="AC42" s="1466">
        <f t="shared" si="5"/>
        <v>1</v>
      </c>
    </row>
    <row r="43" spans="1:29" s="1166" customFormat="1" ht="20.25">
      <c r="A43" s="577"/>
      <c r="B43" s="1764" t="s">
        <v>2210</v>
      </c>
      <c r="C43" s="578" t="s">
        <v>3992</v>
      </c>
      <c r="D43" s="253">
        <v>100</v>
      </c>
      <c r="E43" s="578" t="s">
        <v>3992</v>
      </c>
      <c r="F43" s="517">
        <f>SUMIF(124:124,E43,125:125)-SUMIF(124:124,C43,125:125)+100</f>
        <v>100</v>
      </c>
      <c r="G43" s="578" t="s">
        <v>3992</v>
      </c>
      <c r="H43" s="517">
        <f>SUMIF(124:124,G43,125:125)-SUMIF(124:124,C43,125:125)+100</f>
        <v>100</v>
      </c>
      <c r="I43" s="578" t="s">
        <v>3992</v>
      </c>
      <c r="J43" s="517">
        <f>SUMIF(124:124,I43,125:125)-SUMIF(124:124,C43,125:125)+100</f>
        <v>100</v>
      </c>
      <c r="K43" s="561">
        <v>1</v>
      </c>
      <c r="L43" s="1971"/>
      <c r="M43" s="1968"/>
      <c r="N43" s="1968"/>
      <c r="O43" s="1973"/>
      <c r="P43" s="3773"/>
      <c r="Q43" s="1462" t="str">
        <f t="shared" si="14"/>
        <v>宗地开发程度</v>
      </c>
      <c r="R43" s="1458" t="s">
        <v>8</v>
      </c>
      <c r="S43" s="1459">
        <f t="shared" si="10"/>
        <v>100</v>
      </c>
      <c r="T43" s="1458" t="s">
        <v>8</v>
      </c>
      <c r="U43" s="1459">
        <f t="shared" si="11"/>
        <v>100</v>
      </c>
      <c r="V43" s="1458" t="s">
        <v>8</v>
      </c>
      <c r="W43" s="1459">
        <f t="shared" si="12"/>
        <v>100</v>
      </c>
      <c r="X43" s="1460"/>
      <c r="Y43" s="3773"/>
      <c r="Z43" s="1096" t="str">
        <f t="shared" si="13"/>
        <v>宗地开发程度</v>
      </c>
      <c r="AA43" s="1461">
        <f t="shared" si="3"/>
        <v>1</v>
      </c>
      <c r="AB43" s="1461">
        <f t="shared" si="4"/>
        <v>1</v>
      </c>
      <c r="AC43" s="1461">
        <f t="shared" si="5"/>
        <v>1</v>
      </c>
    </row>
    <row r="44" spans="1:29" ht="21" thickBot="1">
      <c r="A44" s="571"/>
      <c r="B44" s="504" t="s">
        <v>538</v>
      </c>
      <c r="C44" s="576" t="s">
        <v>3374</v>
      </c>
      <c r="D44" s="517">
        <v>100</v>
      </c>
      <c r="E44" s="576" t="s">
        <v>3374</v>
      </c>
      <c r="F44" s="517">
        <f>SUMIF(126:126,E44,127:127)-SUMIF(126:126,C44,127:127)+100</f>
        <v>100</v>
      </c>
      <c r="G44" s="576" t="s">
        <v>3374</v>
      </c>
      <c r="H44" s="517">
        <f>SUMIF(126:126,G44,127:127)-SUMIF(126:126,C44,127:127)+100</f>
        <v>100</v>
      </c>
      <c r="I44" s="576" t="s">
        <v>3374</v>
      </c>
      <c r="J44" s="517">
        <f>SUMIF(126:126,I44,127:127)-SUMIF(126:126,C44,127:127)+100</f>
        <v>100</v>
      </c>
      <c r="K44" s="561">
        <v>2</v>
      </c>
      <c r="L44" s="1978"/>
      <c r="M44" s="1968"/>
      <c r="N44" s="1968"/>
      <c r="O44" s="1977"/>
      <c r="P44" s="3773" t="s">
        <v>533</v>
      </c>
      <c r="Q44" s="1462" t="str">
        <f t="shared" si="14"/>
        <v>工程地质条件</v>
      </c>
      <c r="R44" s="1463" t="s">
        <v>8</v>
      </c>
      <c r="S44" s="1464">
        <f t="shared" si="10"/>
        <v>100</v>
      </c>
      <c r="T44" s="1463" t="s">
        <v>8</v>
      </c>
      <c r="U44" s="1464">
        <f t="shared" si="11"/>
        <v>100</v>
      </c>
      <c r="V44" s="1463" t="s">
        <v>8</v>
      </c>
      <c r="W44" s="1464">
        <f t="shared" si="12"/>
        <v>100</v>
      </c>
      <c r="X44" s="1457"/>
      <c r="Y44" s="3773" t="s">
        <v>533</v>
      </c>
      <c r="Z44" s="1465" t="str">
        <f t="shared" si="13"/>
        <v>工程地质条件</v>
      </c>
      <c r="AA44" s="1466">
        <f t="shared" si="3"/>
        <v>1</v>
      </c>
      <c r="AB44" s="1466">
        <f t="shared" si="4"/>
        <v>1</v>
      </c>
      <c r="AC44" s="1466">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773"/>
      <c r="Q45" s="1462">
        <f t="shared" si="14"/>
        <v>111</v>
      </c>
      <c r="R45" s="1463" t="s">
        <v>8</v>
      </c>
      <c r="S45" s="1464">
        <f t="shared" si="10"/>
        <v>100</v>
      </c>
      <c r="T45" s="1463" t="s">
        <v>8</v>
      </c>
      <c r="U45" s="1464">
        <f t="shared" si="11"/>
        <v>100</v>
      </c>
      <c r="V45" s="1463" t="s">
        <v>8</v>
      </c>
      <c r="W45" s="1464">
        <f t="shared" si="12"/>
        <v>100</v>
      </c>
      <c r="X45" s="1457"/>
      <c r="Y45" s="3773"/>
      <c r="Z45" s="1465">
        <f t="shared" si="13"/>
        <v>111</v>
      </c>
      <c r="AA45" s="1466">
        <f t="shared" si="3"/>
        <v>1</v>
      </c>
      <c r="AB45" s="1466">
        <f t="shared" si="4"/>
        <v>1</v>
      </c>
      <c r="AC45" s="1466">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773"/>
      <c r="Q46" s="1462">
        <f t="shared" si="14"/>
        <v>111</v>
      </c>
      <c r="R46" s="1463" t="s">
        <v>8</v>
      </c>
      <c r="S46" s="1464">
        <f t="shared" si="10"/>
        <v>100</v>
      </c>
      <c r="T46" s="1463" t="s">
        <v>8</v>
      </c>
      <c r="U46" s="1464">
        <f t="shared" si="11"/>
        <v>100</v>
      </c>
      <c r="V46" s="1463" t="s">
        <v>8</v>
      </c>
      <c r="W46" s="1464">
        <f t="shared" si="12"/>
        <v>100</v>
      </c>
      <c r="X46" s="1457"/>
      <c r="Y46" s="3773"/>
      <c r="Z46" s="1465">
        <f t="shared" si="13"/>
        <v>111</v>
      </c>
      <c r="AA46" s="1466">
        <f t="shared" si="3"/>
        <v>1</v>
      </c>
      <c r="AB46" s="1466">
        <f t="shared" si="4"/>
        <v>1</v>
      </c>
      <c r="AC46" s="1466">
        <f t="shared" si="5"/>
        <v>1</v>
      </c>
    </row>
    <row r="47" spans="1:29" s="1248"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773"/>
      <c r="Q47" s="1462">
        <f t="shared" si="14"/>
        <v>111</v>
      </c>
      <c r="R47" s="1467" t="s">
        <v>8</v>
      </c>
      <c r="S47" s="1468">
        <f t="shared" si="10"/>
        <v>100</v>
      </c>
      <c r="T47" s="1467" t="s">
        <v>8</v>
      </c>
      <c r="U47" s="1468">
        <f t="shared" si="11"/>
        <v>100</v>
      </c>
      <c r="V47" s="1467" t="s">
        <v>8</v>
      </c>
      <c r="W47" s="1468">
        <f t="shared" si="12"/>
        <v>100</v>
      </c>
      <c r="X47" s="1469"/>
      <c r="Y47" s="3773"/>
      <c r="Z47" s="1470">
        <f t="shared" si="13"/>
        <v>111</v>
      </c>
      <c r="AA47" s="1466">
        <f t="shared" si="3"/>
        <v>1</v>
      </c>
      <c r="AB47" s="1466">
        <f t="shared" si="4"/>
        <v>1</v>
      </c>
      <c r="AC47" s="1466">
        <f t="shared" si="5"/>
        <v>1</v>
      </c>
    </row>
    <row r="48" spans="1:29" ht="20.25">
      <c r="A48" s="584" t="s">
        <v>539</v>
      </c>
      <c r="B48" s="585" t="s">
        <v>3935</v>
      </c>
      <c r="C48" s="586" t="s">
        <v>1</v>
      </c>
      <c r="D48" s="587"/>
      <c r="E48" s="588">
        <f>土地案例!AH6</f>
        <v>16220</v>
      </c>
      <c r="F48" s="589"/>
      <c r="G48" s="590">
        <f>土地案例!AH22</f>
        <v>17438</v>
      </c>
      <c r="H48" s="591"/>
      <c r="I48" s="588">
        <f>土地案例!AH28</f>
        <v>17608</v>
      </c>
      <c r="J48" s="591"/>
      <c r="K48" s="1249"/>
      <c r="L48" s="1980"/>
      <c r="M48" s="1968"/>
      <c r="N48" s="1968"/>
      <c r="O48" s="1981"/>
      <c r="P48" s="3737" t="str">
        <f>A48</f>
        <v>成交单价</v>
      </c>
      <c r="Q48" s="3737"/>
      <c r="R48" s="3738">
        <f>E48</f>
        <v>16220</v>
      </c>
      <c r="S48" s="3738"/>
      <c r="T48" s="3738">
        <f>G48</f>
        <v>17438</v>
      </c>
      <c r="U48" s="3738"/>
      <c r="V48" s="3738">
        <f>I48</f>
        <v>17608</v>
      </c>
      <c r="W48" s="3738"/>
      <c r="X48" s="1452"/>
      <c r="Y48" s="1471"/>
      <c r="Z48" s="1452"/>
      <c r="AA48" s="1452"/>
      <c r="AB48" s="1452"/>
      <c r="AC48" s="1452"/>
    </row>
    <row r="49" spans="1:29" ht="21" thickBot="1">
      <c r="A49" s="592" t="s">
        <v>2409</v>
      </c>
      <c r="B49" s="593"/>
      <c r="C49" s="594">
        <f>R50</f>
        <v>16923</v>
      </c>
      <c r="D49" s="2922" t="s">
        <v>2700</v>
      </c>
      <c r="E49" s="594">
        <f>R49</f>
        <v>15836</v>
      </c>
      <c r="F49" s="2923"/>
      <c r="G49" s="595">
        <f>T49</f>
        <v>17380</v>
      </c>
      <c r="H49" s="2923"/>
      <c r="I49" s="594">
        <f>V49</f>
        <v>17553</v>
      </c>
      <c r="J49" s="2923"/>
      <c r="K49" s="2924">
        <f>F49+H49+J49</f>
        <v>0</v>
      </c>
      <c r="L49" s="1980"/>
      <c r="M49" s="1968"/>
      <c r="N49" s="1968"/>
      <c r="O49" s="1981"/>
      <c r="P49" s="3737" t="str">
        <f>A49</f>
        <v>比较价格（元/平方米）</v>
      </c>
      <c r="Q49" s="3737"/>
      <c r="R49" s="3739">
        <f>ROUND(PRODUCT(R48,AA9:AA47),0)</f>
        <v>15836</v>
      </c>
      <c r="S49" s="3739"/>
      <c r="T49" s="3739">
        <f>ROUND(PRODUCT(T48,AB9:AB47),0)</f>
        <v>17380</v>
      </c>
      <c r="U49" s="3739"/>
      <c r="V49" s="3739">
        <f>ROUND(PRODUCT(V48,AC9:AC47),0)</f>
        <v>17553</v>
      </c>
      <c r="W49" s="3739"/>
      <c r="X49" s="1452"/>
      <c r="Y49" s="1452"/>
      <c r="Z49" s="1452"/>
      <c r="AA49" s="1452"/>
      <c r="AB49" s="1452"/>
      <c r="AC49" s="1452"/>
    </row>
    <row r="50" spans="1:29" ht="21" thickBot="1">
      <c r="A50" s="596" t="s">
        <v>2635</v>
      </c>
      <c r="B50" s="597"/>
      <c r="C50" s="598">
        <f>R50</f>
        <v>16923</v>
      </c>
      <c r="D50" s="598"/>
      <c r="E50" s="598"/>
      <c r="F50" s="598"/>
      <c r="G50" s="598"/>
      <c r="H50" s="598"/>
      <c r="I50" s="598"/>
      <c r="J50" s="598"/>
      <c r="K50" s="1250"/>
      <c r="L50" s="1980"/>
      <c r="M50" s="1968"/>
      <c r="N50" s="1968"/>
      <c r="O50" s="1981"/>
      <c r="P50" s="3774" t="str">
        <f>A50</f>
        <v>估价对象XX用房的比较价格（楼面单价，元/平方米）</v>
      </c>
      <c r="Q50" s="3775"/>
      <c r="R50" s="3736">
        <f>ROUND(IF(D49="简单平均",AVERAGE(R49:W49),R49*F49+T49*H49+V49*J49),0)</f>
        <v>16923</v>
      </c>
      <c r="S50" s="3736"/>
      <c r="T50" s="3736"/>
      <c r="U50" s="3736"/>
      <c r="V50" s="3736"/>
      <c r="W50" s="3736"/>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f>IF(E48&lt;E49,E49/E48-1,E48/E49-1)</f>
        <v>2.4248547613033633E-2</v>
      </c>
      <c r="F53" s="602" t="str">
        <f>IF(OR(E53&gt;=0.3,E53&lt;=-0.3),"超过30%","")</f>
        <v/>
      </c>
      <c r="G53" s="601">
        <f>IF(G48&lt;G49,G49/G48-1,G48/G49-1)</f>
        <v>3.3371691599539677E-3</v>
      </c>
      <c r="H53" s="602" t="str">
        <f>IF(OR(G53&gt;=0.3,G53&lt;=-0.3),"超过30%","")</f>
        <v/>
      </c>
      <c r="I53" s="601">
        <f>IF(I48&lt;I49,I49/I48-1,I48/I49-1)</f>
        <v>3.13336751552451E-3</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f>IF(E49&lt;G49,G49/E49-1,E49/G49-1)</f>
        <v>9.7499368527405927E-2</v>
      </c>
      <c r="F54" s="602" t="str">
        <f>IF(OR(E54&gt;=0.2,E54&lt;=-0.2),"超过20%","")</f>
        <v/>
      </c>
      <c r="G54" s="601">
        <f>IF(G49&lt;I49,I49/G49-1,G49/I49-1)</f>
        <v>9.9539700805524323E-3</v>
      </c>
      <c r="H54" s="602" t="str">
        <f>IF(OR(G54&gt;=0.2,G54&lt;=-0.2),"超过20%","")</f>
        <v/>
      </c>
      <c r="I54" s="601">
        <f>IF(I49&lt;E49,E49/I49-1,I49/E49-1)</f>
        <v>0.10842384440515285</v>
      </c>
      <c r="J54" s="602"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f>IF(E48&lt;G48,G48/E48-1,E48/G48-1)</f>
        <v>7.5092478421701525E-2</v>
      </c>
      <c r="F55" s="602" t="str">
        <f>IF(OR(E55&gt;=0.3,E55&lt;=-0.3),"超过30%","")</f>
        <v/>
      </c>
      <c r="G55" s="601">
        <f>IF(G48&lt;I48,I48/G48-1,G48/I48-1)</f>
        <v>9.7488244064687368E-3</v>
      </c>
      <c r="H55" s="602" t="str">
        <f>IF(OR(G55&gt;=0.3,G55&lt;=-0.3),"超过30%","")</f>
        <v/>
      </c>
      <c r="I55" s="601">
        <f>IF(I48&lt;E48,E48/I48-1,I48/E48-1)</f>
        <v>8.5573366214549917E-2</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3" t="s">
        <v>1524</v>
      </c>
      <c r="D57" s="2061" t="s">
        <v>2083</v>
      </c>
      <c r="E57" s="606" t="s">
        <v>545</v>
      </c>
      <c r="F57" s="607" t="s">
        <v>546</v>
      </c>
      <c r="G57" s="3763" t="s">
        <v>2072</v>
      </c>
      <c r="H57" s="3764"/>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8" t="s">
        <v>547</v>
      </c>
      <c r="B58" s="609">
        <f>C50</f>
        <v>16923</v>
      </c>
      <c r="C58" s="610">
        <v>1</v>
      </c>
      <c r="D58" s="2062">
        <v>1</v>
      </c>
      <c r="E58" s="610">
        <f>'数据-汇总表'!E8+'数据-汇总表'!E9</f>
        <v>159485.44999999998</v>
      </c>
      <c r="F58" s="611">
        <f t="shared" ref="F58:F66" si="15">ROUND(B58*E58/10000,0)</f>
        <v>269897</v>
      </c>
      <c r="G58" s="3765"/>
      <c r="H58" s="3766"/>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548</v>
      </c>
      <c r="B59" s="613">
        <f>ROUND($C$50*C59*D59,0)</f>
        <v>0</v>
      </c>
      <c r="C59" s="372">
        <f t="shared" ref="C59:C66" si="16">IF($C$57="北京市系数",I59,J59)</f>
        <v>0</v>
      </c>
      <c r="D59" s="2063">
        <v>0.25</v>
      </c>
      <c r="E59" s="614">
        <v>0</v>
      </c>
      <c r="F59" s="611">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549</v>
      </c>
      <c r="B60" s="613">
        <f t="shared" ref="B60:B66" si="17">ROUND($C$50*C60*D60,0)</f>
        <v>0</v>
      </c>
      <c r="C60" s="372">
        <f t="shared" si="16"/>
        <v>0</v>
      </c>
      <c r="D60" s="2063">
        <v>0.25</v>
      </c>
      <c r="E60" s="614">
        <v>0</v>
      </c>
      <c r="F60" s="611">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2" t="s">
        <v>550</v>
      </c>
      <c r="B61" s="613">
        <f t="shared" si="17"/>
        <v>0</v>
      </c>
      <c r="C61" s="372">
        <f t="shared" si="16"/>
        <v>0</v>
      </c>
      <c r="D61" s="2063">
        <v>0.25</v>
      </c>
      <c r="E61" s="614">
        <v>0</v>
      </c>
      <c r="F61" s="611">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2117</v>
      </c>
      <c r="B62" s="613">
        <f t="shared" si="17"/>
        <v>0</v>
      </c>
      <c r="C62" s="372">
        <f t="shared" si="16"/>
        <v>0</v>
      </c>
      <c r="D62" s="2063">
        <v>0.25</v>
      </c>
      <c r="E62" s="616">
        <f>'数据-汇总表'!E11</f>
        <v>0</v>
      </c>
      <c r="F62" s="611">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2" t="s">
        <v>551</v>
      </c>
      <c r="B63" s="613">
        <f t="shared" si="17"/>
        <v>0</v>
      </c>
      <c r="C63" s="372">
        <f t="shared" si="16"/>
        <v>0</v>
      </c>
      <c r="D63" s="2063">
        <v>0.25</v>
      </c>
      <c r="E63" s="616">
        <f>'数据-汇总表'!E12</f>
        <v>0</v>
      </c>
      <c r="F63" s="611">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2" t="s">
        <v>552</v>
      </c>
      <c r="B64" s="613">
        <f t="shared" si="17"/>
        <v>0</v>
      </c>
      <c r="C64" s="372">
        <f t="shared" si="16"/>
        <v>0</v>
      </c>
      <c r="D64" s="2063">
        <v>0.25</v>
      </c>
      <c r="E64" s="616">
        <f>'数据-汇总表'!E13</f>
        <v>62819.43</v>
      </c>
      <c r="F64" s="611">
        <f t="shared" si="15"/>
        <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2" t="s">
        <v>553</v>
      </c>
      <c r="B65" s="613">
        <f t="shared" si="17"/>
        <v>0</v>
      </c>
      <c r="C65" s="372">
        <f t="shared" si="16"/>
        <v>0</v>
      </c>
      <c r="D65" s="2063">
        <v>0.25</v>
      </c>
      <c r="E65" s="616">
        <f>'数据-汇总表'!E14</f>
        <v>0</v>
      </c>
      <c r="F65" s="611">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2" t="s">
        <v>554</v>
      </c>
      <c r="B66" s="613">
        <f t="shared" si="17"/>
        <v>0</v>
      </c>
      <c r="C66" s="372">
        <f t="shared" si="16"/>
        <v>0</v>
      </c>
      <c r="D66" s="2063">
        <v>0.25</v>
      </c>
      <c r="E66" s="616">
        <f>'数据-汇总表'!E15</f>
        <v>0</v>
      </c>
      <c r="F66" s="611">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7" t="s">
        <v>555</v>
      </c>
      <c r="B67" s="618" t="s">
        <v>17</v>
      </c>
      <c r="C67" s="618" t="s">
        <v>18</v>
      </c>
      <c r="D67" s="618" t="s">
        <v>2084</v>
      </c>
      <c r="E67" s="618">
        <f>IF(B48="楼面地价",SUM(E58:E66),'数据-汇总表'!D3)</f>
        <v>222304.87999999998</v>
      </c>
      <c r="F67" s="619">
        <f>IF(B48="楼面地价",SUM(F58:F66),ROUND(C50*E67/10000,0))</f>
        <v>269897</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2022-7-1</v>
      </c>
      <c r="D69" s="2438">
        <f>EDATE(C69,-3)</f>
        <v>44652</v>
      </c>
      <c r="E69" s="2438">
        <f t="shared" ref="E69:N69" si="18">EDATE(D69,-3)</f>
        <v>44562</v>
      </c>
      <c r="F69" s="2438">
        <f t="shared" si="18"/>
        <v>44470</v>
      </c>
      <c r="G69" s="2438">
        <f t="shared" si="18"/>
        <v>44378</v>
      </c>
      <c r="H69" s="2438">
        <f t="shared" si="18"/>
        <v>44287</v>
      </c>
      <c r="I69" s="2438">
        <f t="shared" si="18"/>
        <v>44197</v>
      </c>
      <c r="J69" s="2438">
        <f t="shared" si="18"/>
        <v>44105</v>
      </c>
      <c r="K69" s="2438">
        <f t="shared" si="18"/>
        <v>44013</v>
      </c>
      <c r="L69" s="2438">
        <f t="shared" si="18"/>
        <v>43922</v>
      </c>
      <c r="M69" s="2438">
        <f t="shared" si="18"/>
        <v>43831</v>
      </c>
      <c r="N69" s="2438">
        <f t="shared" si="18"/>
        <v>43739</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2249</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2363</v>
      </c>
      <c r="B72" s="472" t="str">
        <f>"北京市平均增长率"&amp;TEXT(SUMIF(基准地价!N21:N25,A72,基准地价!P21:P25),"0.00%")</f>
        <v>北京市平均增长率1.55%</v>
      </c>
      <c r="C72" s="865">
        <v>100</v>
      </c>
      <c r="D72" s="705">
        <f>C72-0.5</f>
        <v>99.5</v>
      </c>
      <c r="E72" s="705">
        <f t="shared" ref="E72:N72" si="20">D72-0.5</f>
        <v>99</v>
      </c>
      <c r="F72" s="705">
        <f t="shared" si="20"/>
        <v>98.5</v>
      </c>
      <c r="G72" s="705">
        <f t="shared" si="20"/>
        <v>98</v>
      </c>
      <c r="H72" s="705">
        <f t="shared" si="20"/>
        <v>97.5</v>
      </c>
      <c r="I72" s="705">
        <f t="shared" si="20"/>
        <v>97</v>
      </c>
      <c r="J72" s="705">
        <f t="shared" si="20"/>
        <v>96.5</v>
      </c>
      <c r="K72" s="705">
        <f t="shared" si="20"/>
        <v>96</v>
      </c>
      <c r="L72" s="705">
        <f t="shared" si="20"/>
        <v>95.5</v>
      </c>
      <c r="M72" s="705">
        <f t="shared" si="20"/>
        <v>95</v>
      </c>
      <c r="N72" s="705">
        <f t="shared" si="20"/>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2362</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520" t="s">
        <v>3930</v>
      </c>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0（含）-1</v>
      </c>
      <c r="D80" s="657" t="str">
        <f t="shared" ref="D80:L80" si="21">D81&amp;"（含）"&amp;"-"&amp;E81</f>
        <v>1（含）-2</v>
      </c>
      <c r="E80" s="657" t="str">
        <f t="shared" si="21"/>
        <v>2（含）-3</v>
      </c>
      <c r="F80" s="657" t="str">
        <f t="shared" si="21"/>
        <v>3（含）-4</v>
      </c>
      <c r="G80" s="657" t="str">
        <f t="shared" si="21"/>
        <v>4（含）-5</v>
      </c>
      <c r="H80" s="657" t="str">
        <f t="shared" si="21"/>
        <v>5（含）-</v>
      </c>
      <c r="I80" s="657" t="str">
        <f t="shared" si="21"/>
        <v>（含）-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1</v>
      </c>
      <c r="E81" s="518">
        <v>2</v>
      </c>
      <c r="F81" s="518">
        <v>3</v>
      </c>
      <c r="G81" s="518">
        <v>4</v>
      </c>
      <c r="H81" s="518">
        <v>5</v>
      </c>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98</v>
      </c>
      <c r="E82" s="654">
        <f t="shared" si="22"/>
        <v>96</v>
      </c>
      <c r="F82" s="654">
        <f t="shared" si="22"/>
        <v>94</v>
      </c>
      <c r="G82" s="654">
        <f t="shared" si="22"/>
        <v>92</v>
      </c>
      <c r="H82" s="654">
        <f t="shared" si="22"/>
        <v>90</v>
      </c>
      <c r="I82" s="654">
        <f t="shared" si="22"/>
        <v>88</v>
      </c>
      <c r="J82" s="654">
        <f t="shared" si="22"/>
        <v>86</v>
      </c>
      <c r="K82" s="654">
        <f t="shared" si="22"/>
        <v>84</v>
      </c>
      <c r="L82" s="654">
        <f t="shared" si="22"/>
        <v>82</v>
      </c>
      <c r="M82" s="654">
        <f t="shared" si="22"/>
        <v>80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95</v>
      </c>
      <c r="E90" s="654">
        <f>D90-$K17</f>
        <v>90</v>
      </c>
      <c r="F90" s="654">
        <f>E90-$K17</f>
        <v>85</v>
      </c>
      <c r="G90" s="654">
        <f>F90-$K17</f>
        <v>80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98</v>
      </c>
      <c r="E96" s="654">
        <f>D96-$K23</f>
        <v>96</v>
      </c>
      <c r="F96" s="654">
        <f>E96-$K23</f>
        <v>94</v>
      </c>
      <c r="G96" s="654">
        <f>F96-$K23</f>
        <v>92</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2"/>
      <c r="B101" s="1765" t="s">
        <v>2265</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2"/>
      <c r="B103" s="2363" t="s">
        <v>2267</v>
      </c>
      <c r="C103" s="2364" t="s">
        <v>2268</v>
      </c>
      <c r="D103" s="2364" t="s">
        <v>2269</v>
      </c>
      <c r="E103" s="2364" t="s">
        <v>2270</v>
      </c>
      <c r="F103" s="2364" t="s">
        <v>2271</v>
      </c>
      <c r="G103" s="2364" t="s">
        <v>2272</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6"/>
      <c r="C104" s="654">
        <v>100</v>
      </c>
      <c r="D104" s="654">
        <f>C104-$K31</f>
        <v>99</v>
      </c>
      <c r="E104" s="654">
        <f>D104-$K31</f>
        <v>98</v>
      </c>
      <c r="F104" s="654">
        <f>E104-$K31</f>
        <v>97</v>
      </c>
      <c r="G104" s="654">
        <f>F104-$K31</f>
        <v>96</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0(含)-50000</v>
      </c>
      <c r="D117" s="679" t="str">
        <f t="shared" si="26"/>
        <v>50000(含)-100000</v>
      </c>
      <c r="E117" s="679" t="str">
        <f t="shared" si="26"/>
        <v>100000(含)-150000</v>
      </c>
      <c r="F117" s="679" t="str">
        <f t="shared" si="26"/>
        <v>150000(含)-200000</v>
      </c>
      <c r="G117" s="679" t="str">
        <f t="shared" si="26"/>
        <v>200000(含)-250000</v>
      </c>
      <c r="H117" s="679" t="str">
        <f t="shared" si="26"/>
        <v>250000(含)-300000</v>
      </c>
      <c r="I117" s="679" t="str">
        <f t="shared" si="26"/>
        <v>300000(含)-</v>
      </c>
      <c r="J117" s="2698" t="str">
        <f t="shared" si="26"/>
        <v>(含)-</v>
      </c>
      <c r="K117" s="2698" t="str">
        <f t="shared" si="26"/>
        <v>(含)-</v>
      </c>
      <c r="L117" s="2699" t="str">
        <f t="shared" si="26"/>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f>C118+50000</f>
        <v>50000</v>
      </c>
      <c r="E118" s="705">
        <f t="shared" ref="E118:I118" si="27">D118+50000</f>
        <v>100000</v>
      </c>
      <c r="F118" s="705">
        <f t="shared" si="27"/>
        <v>150000</v>
      </c>
      <c r="G118" s="705">
        <f t="shared" si="27"/>
        <v>200000</v>
      </c>
      <c r="H118" s="705">
        <f t="shared" si="27"/>
        <v>250000</v>
      </c>
      <c r="I118" s="705">
        <f t="shared" si="27"/>
        <v>300000</v>
      </c>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f>C119+0.5</f>
        <v>100.5</v>
      </c>
      <c r="E119" s="701">
        <f t="shared" ref="E119:I119" si="28">D119+0.5</f>
        <v>101</v>
      </c>
      <c r="F119" s="701">
        <f t="shared" si="28"/>
        <v>101.5</v>
      </c>
      <c r="G119" s="701">
        <f t="shared" si="28"/>
        <v>102</v>
      </c>
      <c r="H119" s="701">
        <f t="shared" si="28"/>
        <v>102.5</v>
      </c>
      <c r="I119" s="701">
        <f t="shared" si="28"/>
        <v>103</v>
      </c>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521" t="s">
        <v>3931</v>
      </c>
      <c r="D120" s="3521" t="s">
        <v>3932</v>
      </c>
      <c r="E120" s="3521" t="s">
        <v>3933</v>
      </c>
      <c r="F120" s="3521" t="s">
        <v>3934</v>
      </c>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9">C121-$K41</f>
        <v>98</v>
      </c>
      <c r="E121" s="654">
        <f t="shared" si="29"/>
        <v>96</v>
      </c>
      <c r="F121" s="654">
        <f t="shared" si="29"/>
        <v>94</v>
      </c>
      <c r="G121" s="654">
        <f t="shared" si="29"/>
        <v>92</v>
      </c>
      <c r="H121" s="654">
        <f t="shared" si="29"/>
        <v>90</v>
      </c>
      <c r="I121" s="654">
        <f t="shared" si="29"/>
        <v>88</v>
      </c>
      <c r="J121" s="654">
        <f t="shared" si="29"/>
        <v>86</v>
      </c>
      <c r="K121" s="654">
        <f t="shared" si="29"/>
        <v>84</v>
      </c>
      <c r="L121" s="654">
        <f t="shared" si="29"/>
        <v>82</v>
      </c>
      <c r="M121" s="655">
        <f t="shared" si="29"/>
        <v>80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3530" t="s">
        <v>3989</v>
      </c>
      <c r="D122" s="3530" t="s">
        <v>3990</v>
      </c>
      <c r="E122" s="3530" t="s">
        <v>3991</v>
      </c>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0">C123-$K42</f>
        <v>98</v>
      </c>
      <c r="E123" s="654">
        <f t="shared" si="30"/>
        <v>96</v>
      </c>
      <c r="F123" s="654">
        <f t="shared" si="30"/>
        <v>94</v>
      </c>
      <c r="G123" s="654">
        <f t="shared" si="30"/>
        <v>92</v>
      </c>
      <c r="H123" s="654">
        <f t="shared" si="30"/>
        <v>90</v>
      </c>
      <c r="I123" s="654">
        <f t="shared" si="30"/>
        <v>88</v>
      </c>
      <c r="J123" s="654">
        <f t="shared" si="30"/>
        <v>86</v>
      </c>
      <c r="K123" s="654">
        <f t="shared" si="30"/>
        <v>84</v>
      </c>
      <c r="L123" s="654">
        <f t="shared" si="30"/>
        <v>82</v>
      </c>
      <c r="M123" s="655">
        <f t="shared" si="30"/>
        <v>80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2211</v>
      </c>
      <c r="C124" s="1282" t="s">
        <v>3992</v>
      </c>
      <c r="D124" s="1282" t="s">
        <v>3993</v>
      </c>
      <c r="E124" s="1282" t="s">
        <v>3994</v>
      </c>
      <c r="F124" s="1282" t="s">
        <v>3995</v>
      </c>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2"/>
      <c r="B125" s="653"/>
      <c r="C125" s="654">
        <v>100</v>
      </c>
      <c r="D125" s="654">
        <f t="shared" ref="D125:M125" si="31">C125-$K43</f>
        <v>99</v>
      </c>
      <c r="E125" s="654">
        <f t="shared" si="31"/>
        <v>98</v>
      </c>
      <c r="F125" s="654">
        <f t="shared" si="31"/>
        <v>97</v>
      </c>
      <c r="G125" s="654">
        <f t="shared" si="31"/>
        <v>96</v>
      </c>
      <c r="H125" s="654">
        <f t="shared" si="31"/>
        <v>95</v>
      </c>
      <c r="I125" s="654">
        <f t="shared" si="31"/>
        <v>94</v>
      </c>
      <c r="J125" s="654">
        <f t="shared" si="31"/>
        <v>93</v>
      </c>
      <c r="K125" s="654">
        <f t="shared" si="31"/>
        <v>92</v>
      </c>
      <c r="L125" s="654">
        <f t="shared" si="31"/>
        <v>91</v>
      </c>
      <c r="M125" s="655">
        <f t="shared" si="31"/>
        <v>90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t="s">
        <v>3996</v>
      </c>
      <c r="D126" s="663" t="s">
        <v>3374</v>
      </c>
      <c r="E126" s="693" t="s">
        <v>3375</v>
      </c>
      <c r="F126" s="693" t="s">
        <v>3997</v>
      </c>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2">C127-$K44</f>
        <v>98</v>
      </c>
      <c r="E127" s="654">
        <f t="shared" si="32"/>
        <v>96</v>
      </c>
      <c r="F127" s="654">
        <f t="shared" si="32"/>
        <v>94</v>
      </c>
      <c r="G127" s="654">
        <f t="shared" si="32"/>
        <v>92</v>
      </c>
      <c r="H127" s="654">
        <f t="shared" si="32"/>
        <v>90</v>
      </c>
      <c r="I127" s="654">
        <f t="shared" si="32"/>
        <v>88</v>
      </c>
      <c r="J127" s="654">
        <f t="shared" si="32"/>
        <v>86</v>
      </c>
      <c r="K127" s="654">
        <f t="shared" si="32"/>
        <v>84</v>
      </c>
      <c r="L127" s="654">
        <f t="shared" si="32"/>
        <v>82</v>
      </c>
      <c r="M127" s="655">
        <f t="shared" si="32"/>
        <v>80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C26" sqref="C26"/>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743" t="s">
        <v>505</v>
      </c>
      <c r="D6" s="3744"/>
      <c r="E6" s="3778" t="s">
        <v>506</v>
      </c>
      <c r="F6" s="3779"/>
      <c r="G6" s="3743" t="s">
        <v>507</v>
      </c>
      <c r="H6" s="3744"/>
      <c r="I6" s="3743" t="s">
        <v>508</v>
      </c>
      <c r="J6" s="3744"/>
      <c r="K6" s="491" t="s">
        <v>509</v>
      </c>
      <c r="L6" s="1969"/>
      <c r="M6" s="1970"/>
      <c r="N6" s="1970"/>
      <c r="O6" s="1970"/>
      <c r="P6" s="3745" t="s">
        <v>510</v>
      </c>
      <c r="Q6" s="3746"/>
      <c r="R6" s="3751" t="s">
        <v>506</v>
      </c>
      <c r="S6" s="3752"/>
      <c r="T6" s="3751" t="s">
        <v>507</v>
      </c>
      <c r="U6" s="3752"/>
      <c r="V6" s="3738" t="s">
        <v>508</v>
      </c>
      <c r="W6" s="3738"/>
      <c r="X6" s="1457"/>
      <c r="Y6" s="3751" t="s">
        <v>510</v>
      </c>
      <c r="Z6" s="3752"/>
      <c r="AA6" s="3740" t="s">
        <v>506</v>
      </c>
      <c r="AB6" s="3741" t="s">
        <v>507</v>
      </c>
      <c r="AC6" s="3740" t="s">
        <v>508</v>
      </c>
    </row>
    <row r="7" spans="1:29" ht="15">
      <c r="A7" s="492"/>
      <c r="B7" s="493"/>
      <c r="C7" s="3759" t="s">
        <v>2629</v>
      </c>
      <c r="D7" s="3760"/>
      <c r="E7" s="3780" t="s">
        <v>2630</v>
      </c>
      <c r="F7" s="3781"/>
      <c r="G7" s="3759" t="s">
        <v>2631</v>
      </c>
      <c r="H7" s="3760"/>
      <c r="I7" s="3759" t="s">
        <v>2632</v>
      </c>
      <c r="J7" s="3760"/>
      <c r="K7" s="491"/>
      <c r="L7" s="1969"/>
      <c r="M7" s="1970"/>
      <c r="N7" s="1970"/>
      <c r="O7" s="1970"/>
      <c r="P7" s="3747"/>
      <c r="Q7" s="3748"/>
      <c r="R7" s="3753"/>
      <c r="S7" s="3754"/>
      <c r="T7" s="3753"/>
      <c r="U7" s="3754"/>
      <c r="V7" s="3738"/>
      <c r="W7" s="3738"/>
      <c r="X7" s="1457"/>
      <c r="Y7" s="3753"/>
      <c r="Z7" s="3754"/>
      <c r="AA7" s="3741"/>
      <c r="AB7" s="3741"/>
      <c r="AC7" s="3741"/>
    </row>
    <row r="8" spans="1:29" ht="15.75" thickBot="1">
      <c r="A8" s="494"/>
      <c r="B8" s="495"/>
      <c r="C8" s="3757" t="s">
        <v>2633</v>
      </c>
      <c r="D8" s="3758"/>
      <c r="E8" s="3776" t="s">
        <v>2633</v>
      </c>
      <c r="F8" s="3777"/>
      <c r="G8" s="3757" t="s">
        <v>2633</v>
      </c>
      <c r="H8" s="3758"/>
      <c r="I8" s="3757" t="s">
        <v>2633</v>
      </c>
      <c r="J8" s="3758"/>
      <c r="K8" s="491" t="s">
        <v>511</v>
      </c>
      <c r="L8" s="1969"/>
      <c r="M8" s="1970"/>
      <c r="N8" s="1970"/>
      <c r="O8" s="1970"/>
      <c r="P8" s="3749"/>
      <c r="Q8" s="3750"/>
      <c r="R8" s="3753"/>
      <c r="S8" s="3754"/>
      <c r="T8" s="3755"/>
      <c r="U8" s="3756"/>
      <c r="V8" s="3738"/>
      <c r="W8" s="3738"/>
      <c r="X8" s="1457"/>
      <c r="Y8" s="3755"/>
      <c r="Z8" s="3756"/>
      <c r="AA8" s="3742"/>
      <c r="AB8" s="3742"/>
      <c r="AC8" s="3742"/>
    </row>
    <row r="9" spans="1:29" s="1166" customFormat="1" ht="15.75" thickBot="1">
      <c r="A9" s="2551"/>
      <c r="B9" s="2558" t="s">
        <v>512</v>
      </c>
      <c r="C9" s="496">
        <f>'数据-取费表'!B2</f>
        <v>44747</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767" t="s">
        <v>513</v>
      </c>
      <c r="Q9" s="3769"/>
      <c r="R9" s="1458" t="s">
        <v>8</v>
      </c>
      <c r="S9" s="1459">
        <f t="shared" ref="S9:S17" si="0">F9</f>
        <v>0</v>
      </c>
      <c r="T9" s="1458" t="s">
        <v>8</v>
      </c>
      <c r="U9" s="1459">
        <f t="shared" ref="U9:U17" si="1">H9</f>
        <v>0</v>
      </c>
      <c r="V9" s="1458" t="s">
        <v>8</v>
      </c>
      <c r="W9" s="1459">
        <f t="shared" ref="W9:W17" si="2">J9</f>
        <v>0</v>
      </c>
      <c r="X9" s="1460"/>
      <c r="Y9" s="3767" t="s">
        <v>513</v>
      </c>
      <c r="Z9" s="3768"/>
      <c r="AA9" s="1461" t="e">
        <f>D9/F9</f>
        <v>#DIV/0!</v>
      </c>
      <c r="AB9" s="1461" t="e">
        <f>D9/H9</f>
        <v>#DIV/0!</v>
      </c>
      <c r="AC9" s="1461" t="e">
        <f>D9/J9</f>
        <v>#DIV/0!</v>
      </c>
    </row>
    <row r="10" spans="1:29" s="1166"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767" t="s">
        <v>516</v>
      </c>
      <c r="Q10" s="3768"/>
      <c r="R10" s="1458" t="s">
        <v>8</v>
      </c>
      <c r="S10" s="1459">
        <f t="shared" si="0"/>
        <v>0</v>
      </c>
      <c r="T10" s="1458" t="s">
        <v>8</v>
      </c>
      <c r="U10" s="1459">
        <f t="shared" si="1"/>
        <v>0</v>
      </c>
      <c r="V10" s="1458" t="s">
        <v>8</v>
      </c>
      <c r="W10" s="1459">
        <f t="shared" si="2"/>
        <v>0</v>
      </c>
      <c r="X10" s="1460"/>
      <c r="Y10" s="3767" t="s">
        <v>516</v>
      </c>
      <c r="Z10" s="3768"/>
      <c r="AA10" s="1461" t="e">
        <f t="shared" ref="AA10:AA42" si="3">D10/F10</f>
        <v>#DIV/0!</v>
      </c>
      <c r="AB10" s="1461" t="e">
        <f t="shared" ref="AB10:AB42" si="4">D10/H10</f>
        <v>#DIV/0!</v>
      </c>
      <c r="AC10" s="1461" t="e">
        <f t="shared" ref="AC10:AC42" si="5">D10/J10</f>
        <v>#DIV/0!</v>
      </c>
    </row>
    <row r="11" spans="1:29" s="1166" customFormat="1" ht="15">
      <c r="A11" s="2553"/>
      <c r="B11" s="2560" t="s">
        <v>2472</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737" t="s">
        <v>518</v>
      </c>
      <c r="Q11" s="1097" t="str">
        <f t="shared" ref="Q11:Q17" si="6">B11</f>
        <v>用途</v>
      </c>
      <c r="R11" s="1458" t="s">
        <v>8</v>
      </c>
      <c r="S11" s="1459">
        <f t="shared" si="0"/>
        <v>100</v>
      </c>
      <c r="T11" s="1458" t="s">
        <v>8</v>
      </c>
      <c r="U11" s="1459">
        <f t="shared" si="1"/>
        <v>100</v>
      </c>
      <c r="V11" s="1458" t="s">
        <v>8</v>
      </c>
      <c r="W11" s="1459">
        <f t="shared" si="2"/>
        <v>100</v>
      </c>
      <c r="X11" s="1460"/>
      <c r="Y11" s="3681" t="s">
        <v>519</v>
      </c>
      <c r="Z11" s="1096" t="str">
        <f t="shared" ref="Z11:Z17" si="7">Q11</f>
        <v>用途</v>
      </c>
      <c r="AA11" s="1461">
        <f t="shared" si="3"/>
        <v>1</v>
      </c>
      <c r="AB11" s="1461">
        <f t="shared" si="4"/>
        <v>1</v>
      </c>
      <c r="AC11" s="1461">
        <f t="shared" si="5"/>
        <v>1</v>
      </c>
    </row>
    <row r="12" spans="1:29" s="1247" customFormat="1" ht="27">
      <c r="A12" s="2554"/>
      <c r="B12" s="2559" t="s">
        <v>2473</v>
      </c>
      <c r="C12" s="505"/>
      <c r="D12" s="253">
        <v>100</v>
      </c>
      <c r="E12" s="505"/>
      <c r="F12" s="253">
        <f>ROUND(100/'数据-取费表'!G16,0)</f>
        <v>101</v>
      </c>
      <c r="G12" s="505"/>
      <c r="H12" s="253">
        <f>ROUND(100/'数据-取费表'!G16,0)</f>
        <v>101</v>
      </c>
      <c r="I12" s="505"/>
      <c r="J12" s="253">
        <f>ROUND(100/'数据-取费表'!G16,0)</f>
        <v>101</v>
      </c>
      <c r="K12" s="508"/>
      <c r="L12" s="1974"/>
      <c r="M12" s="2013"/>
      <c r="N12" s="2013"/>
      <c r="O12" s="1975"/>
      <c r="P12" s="3737"/>
      <c r="Q12" s="1097" t="str">
        <f t="shared" si="6"/>
        <v>土地使用年限（年）</v>
      </c>
      <c r="R12" s="1458" t="s">
        <v>8</v>
      </c>
      <c r="S12" s="1459">
        <f t="shared" si="0"/>
        <v>101</v>
      </c>
      <c r="T12" s="1458" t="s">
        <v>8</v>
      </c>
      <c r="U12" s="1459">
        <f t="shared" si="1"/>
        <v>101</v>
      </c>
      <c r="V12" s="1458" t="s">
        <v>8</v>
      </c>
      <c r="W12" s="1459">
        <f t="shared" si="2"/>
        <v>101</v>
      </c>
      <c r="X12" s="1460"/>
      <c r="Y12" s="3681"/>
      <c r="Z12" s="1096" t="str">
        <f t="shared" si="7"/>
        <v>土地使用年限（年）</v>
      </c>
      <c r="AA12" s="1461">
        <f t="shared" si="3"/>
        <v>0.99009900990099009</v>
      </c>
      <c r="AB12" s="1461">
        <f t="shared" si="4"/>
        <v>0.99009900990099009</v>
      </c>
      <c r="AC12" s="1461">
        <f t="shared" si="5"/>
        <v>0.99009900990099009</v>
      </c>
    </row>
    <row r="13" spans="1:29" ht="15">
      <c r="A13" s="2555"/>
      <c r="B13" s="2559"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737"/>
      <c r="Q13" s="1097" t="str">
        <f t="shared" si="6"/>
        <v>容积率</v>
      </c>
      <c r="R13" s="1458" t="s">
        <v>8</v>
      </c>
      <c r="S13" s="1459" t="e">
        <f t="shared" si="0"/>
        <v>#N/A</v>
      </c>
      <c r="T13" s="1458" t="s">
        <v>8</v>
      </c>
      <c r="U13" s="1459" t="e">
        <f t="shared" si="1"/>
        <v>#N/A</v>
      </c>
      <c r="V13" s="1458" t="s">
        <v>8</v>
      </c>
      <c r="W13" s="1459" t="e">
        <f t="shared" si="2"/>
        <v>#N/A</v>
      </c>
      <c r="X13" s="1460"/>
      <c r="Y13" s="3681"/>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737"/>
      <c r="Q14" s="1097">
        <f t="shared" si="6"/>
        <v>111</v>
      </c>
      <c r="R14" s="1458" t="s">
        <v>8</v>
      </c>
      <c r="S14" s="1459">
        <f t="shared" si="0"/>
        <v>100</v>
      </c>
      <c r="T14" s="1458" t="s">
        <v>8</v>
      </c>
      <c r="U14" s="1459">
        <f t="shared" si="1"/>
        <v>100</v>
      </c>
      <c r="V14" s="1458" t="s">
        <v>8</v>
      </c>
      <c r="W14" s="1459">
        <f t="shared" si="2"/>
        <v>100</v>
      </c>
      <c r="X14" s="1460"/>
      <c r="Y14" s="3681"/>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737"/>
      <c r="Q15" s="1097">
        <f t="shared" si="6"/>
        <v>111</v>
      </c>
      <c r="R15" s="1458" t="s">
        <v>8</v>
      </c>
      <c r="S15" s="1459">
        <f t="shared" si="0"/>
        <v>100</v>
      </c>
      <c r="T15" s="1458" t="s">
        <v>8</v>
      </c>
      <c r="U15" s="1459">
        <f t="shared" si="1"/>
        <v>100</v>
      </c>
      <c r="V15" s="1458" t="s">
        <v>8</v>
      </c>
      <c r="W15" s="1459">
        <f t="shared" si="2"/>
        <v>100</v>
      </c>
      <c r="X15" s="1460"/>
      <c r="Y15" s="3681"/>
      <c r="Z15" s="1096">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737"/>
      <c r="Q16" s="1097">
        <f t="shared" si="6"/>
        <v>111</v>
      </c>
      <c r="R16" s="1458" t="s">
        <v>8</v>
      </c>
      <c r="S16" s="1459">
        <f t="shared" si="0"/>
        <v>100</v>
      </c>
      <c r="T16" s="1458" t="s">
        <v>8</v>
      </c>
      <c r="U16" s="1459">
        <f t="shared" si="1"/>
        <v>100</v>
      </c>
      <c r="V16" s="1458" t="s">
        <v>8</v>
      </c>
      <c r="W16" s="1459">
        <f t="shared" si="2"/>
        <v>100</v>
      </c>
      <c r="X16" s="1460"/>
      <c r="Y16" s="3681"/>
      <c r="Z16" s="1096">
        <f t="shared" si="7"/>
        <v>111</v>
      </c>
      <c r="AA16" s="1461">
        <f t="shared" si="3"/>
        <v>1</v>
      </c>
      <c r="AB16" s="1461">
        <f t="shared" si="4"/>
        <v>1</v>
      </c>
      <c r="AC16" s="1461">
        <f t="shared" si="5"/>
        <v>1</v>
      </c>
    </row>
    <row r="17" spans="1:29" ht="57">
      <c r="A17" s="2549" t="s">
        <v>2470</v>
      </c>
      <c r="B17" s="164" t="s">
        <v>580</v>
      </c>
      <c r="C17" s="892"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770" t="s">
        <v>523</v>
      </c>
      <c r="Q17" s="1462" t="str">
        <f t="shared" si="6"/>
        <v>产业集聚程度</v>
      </c>
      <c r="R17" s="1463" t="s">
        <v>8</v>
      </c>
      <c r="S17" s="1464">
        <f t="shared" si="0"/>
        <v>100</v>
      </c>
      <c r="T17" s="1463" t="s">
        <v>8</v>
      </c>
      <c r="U17" s="1464">
        <f t="shared" si="1"/>
        <v>100</v>
      </c>
      <c r="V17" s="1463" t="s">
        <v>8</v>
      </c>
      <c r="W17" s="1464">
        <f t="shared" si="2"/>
        <v>100</v>
      </c>
      <c r="X17" s="1457"/>
      <c r="Y17" s="3770"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771"/>
      <c r="Q18" s="1462"/>
      <c r="R18" s="1463"/>
      <c r="S18" s="1464"/>
      <c r="T18" s="1463"/>
      <c r="U18" s="1464"/>
      <c r="V18" s="1463"/>
      <c r="W18" s="1464"/>
      <c r="X18" s="1457"/>
      <c r="Y18" s="3771"/>
      <c r="Z18" s="1465"/>
      <c r="AA18" s="1466">
        <v>1</v>
      </c>
      <c r="AB18" s="1466">
        <v>1</v>
      </c>
      <c r="AC18" s="1466">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771"/>
      <c r="Q19" s="1462" t="str">
        <f>B19</f>
        <v>交通便捷度</v>
      </c>
      <c r="R19" s="1463" t="s">
        <v>8</v>
      </c>
      <c r="S19" s="1464">
        <f>F19</f>
        <v>100</v>
      </c>
      <c r="T19" s="1463" t="s">
        <v>8</v>
      </c>
      <c r="U19" s="1464">
        <f>H19</f>
        <v>100</v>
      </c>
      <c r="V19" s="1463" t="s">
        <v>8</v>
      </c>
      <c r="W19" s="1464">
        <f>J19</f>
        <v>100</v>
      </c>
      <c r="X19" s="1457"/>
      <c r="Y19" s="3771"/>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771"/>
      <c r="Q20" s="1462"/>
      <c r="R20" s="1463"/>
      <c r="S20" s="1464"/>
      <c r="T20" s="1463"/>
      <c r="U20" s="1464"/>
      <c r="V20" s="1463"/>
      <c r="W20" s="1464"/>
      <c r="X20" s="1457"/>
      <c r="Y20" s="3771"/>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771"/>
      <c r="Q21" s="1462" t="str">
        <f t="shared" ref="Q21:Q35" si="8">B21</f>
        <v>区域土地利用方向</v>
      </c>
      <c r="R21" s="1463" t="s">
        <v>8</v>
      </c>
      <c r="S21" s="1464">
        <f>F21</f>
        <v>100</v>
      </c>
      <c r="T21" s="1463" t="s">
        <v>8</v>
      </c>
      <c r="U21" s="1464">
        <f>H21</f>
        <v>100</v>
      </c>
      <c r="V21" s="1463" t="s">
        <v>8</v>
      </c>
      <c r="W21" s="1464">
        <f>J21</f>
        <v>100</v>
      </c>
      <c r="X21" s="1457"/>
      <c r="Y21" s="3771"/>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771"/>
      <c r="Q22" s="1462"/>
      <c r="R22" s="1463"/>
      <c r="S22" s="1464"/>
      <c r="T22" s="1463"/>
      <c r="U22" s="1464"/>
      <c r="V22" s="1463"/>
      <c r="W22" s="1464"/>
      <c r="X22" s="1457"/>
      <c r="Y22" s="3771"/>
      <c r="Z22" s="1465"/>
      <c r="AA22" s="1466"/>
      <c r="AB22" s="1466"/>
      <c r="AC22" s="1466"/>
    </row>
    <row r="23" spans="1:29" ht="71.25">
      <c r="A23" s="492"/>
      <c r="B23" s="893"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771"/>
      <c r="Q23" s="1462" t="str">
        <f t="shared" si="8"/>
        <v>环境状况</v>
      </c>
      <c r="R23" s="1463" t="s">
        <v>8</v>
      </c>
      <c r="S23" s="1464">
        <f>F23</f>
        <v>100</v>
      </c>
      <c r="T23" s="1463" t="s">
        <v>8</v>
      </c>
      <c r="U23" s="1464">
        <f>H23</f>
        <v>100</v>
      </c>
      <c r="V23" s="1463" t="s">
        <v>8</v>
      </c>
      <c r="W23" s="1464">
        <f>J23</f>
        <v>100</v>
      </c>
      <c r="X23" s="1457"/>
      <c r="Y23" s="3771"/>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771"/>
      <c r="Q24" s="1462"/>
      <c r="R24" s="1463"/>
      <c r="S24" s="1464"/>
      <c r="T24" s="1463"/>
      <c r="U24" s="1464"/>
      <c r="V24" s="1463"/>
      <c r="W24" s="1464"/>
      <c r="X24" s="1457"/>
      <c r="Y24" s="3771"/>
      <c r="Z24" s="1465"/>
      <c r="AA24" s="1466">
        <v>1</v>
      </c>
      <c r="AB24" s="1466">
        <v>1</v>
      </c>
      <c r="AC24" s="1466">
        <v>1</v>
      </c>
    </row>
    <row r="25" spans="1:29" s="1166" customFormat="1" ht="42.75">
      <c r="A25" s="554"/>
      <c r="B25" s="2359"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771"/>
      <c r="Q25" s="1097" t="str">
        <f t="shared" si="8"/>
        <v>公共配套设施</v>
      </c>
      <c r="R25" s="1458" t="s">
        <v>8</v>
      </c>
      <c r="S25" s="1459">
        <f>F25</f>
        <v>100</v>
      </c>
      <c r="T25" s="1458" t="s">
        <v>8</v>
      </c>
      <c r="U25" s="1459">
        <f>H25</f>
        <v>100</v>
      </c>
      <c r="V25" s="1458" t="s">
        <v>8</v>
      </c>
      <c r="W25" s="1459">
        <f>J25</f>
        <v>100</v>
      </c>
      <c r="X25" s="1460"/>
      <c r="Y25" s="3771"/>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771"/>
      <c r="Q26" s="1097"/>
      <c r="R26" s="1458"/>
      <c r="S26" s="1459"/>
      <c r="T26" s="1458"/>
      <c r="U26" s="1459"/>
      <c r="V26" s="1458"/>
      <c r="W26" s="1459"/>
      <c r="X26" s="1460"/>
      <c r="Y26" s="3771"/>
      <c r="Z26" s="1096"/>
      <c r="AA26" s="1461">
        <v>1</v>
      </c>
      <c r="AB26" s="1461">
        <v>1</v>
      </c>
      <c r="AC26" s="1461">
        <v>1</v>
      </c>
    </row>
    <row r="27" spans="1:29" s="1166" customFormat="1" ht="28.5">
      <c r="A27" s="554"/>
      <c r="B27" s="2359"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771"/>
      <c r="Q27" s="2350" t="str">
        <f t="shared" ref="Q27" si="9">B27</f>
        <v>基础设施水平</v>
      </c>
      <c r="R27" s="1458" t="s">
        <v>8</v>
      </c>
      <c r="S27" s="1459">
        <f>F27</f>
        <v>100</v>
      </c>
      <c r="T27" s="1458" t="s">
        <v>8</v>
      </c>
      <c r="U27" s="1459">
        <f>H27</f>
        <v>100</v>
      </c>
      <c r="V27" s="1458" t="s">
        <v>8</v>
      </c>
      <c r="W27" s="1459">
        <f>J27</f>
        <v>100</v>
      </c>
      <c r="X27" s="1460"/>
      <c r="Y27" s="3771"/>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771"/>
      <c r="Q28" s="2350"/>
      <c r="R28" s="1458"/>
      <c r="S28" s="1459"/>
      <c r="T28" s="1458"/>
      <c r="U28" s="1459"/>
      <c r="V28" s="1458"/>
      <c r="W28" s="1459"/>
      <c r="X28" s="1460"/>
      <c r="Y28" s="3771"/>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771"/>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771"/>
      <c r="Z29" s="1465" t="str">
        <f t="shared" ref="Z29:Z42" si="13">Q29</f>
        <v>临街状况</v>
      </c>
      <c r="AA29" s="1466">
        <f t="shared" si="3"/>
        <v>1</v>
      </c>
      <c r="AB29" s="1466">
        <f t="shared" si="4"/>
        <v>1</v>
      </c>
      <c r="AC29" s="1466">
        <f t="shared" si="5"/>
        <v>1</v>
      </c>
    </row>
    <row r="30" spans="1:29" ht="27">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771"/>
      <c r="Q30" s="1462" t="str">
        <f t="shared" si="8"/>
        <v>毗邻道路的类型与等级</v>
      </c>
      <c r="R30" s="1463" t="s">
        <v>8</v>
      </c>
      <c r="S30" s="1464">
        <f t="shared" si="10"/>
        <v>100</v>
      </c>
      <c r="T30" s="1463" t="s">
        <v>8</v>
      </c>
      <c r="U30" s="1464">
        <f t="shared" si="11"/>
        <v>100</v>
      </c>
      <c r="V30" s="1463" t="s">
        <v>8</v>
      </c>
      <c r="W30" s="1464">
        <f t="shared" si="12"/>
        <v>100</v>
      </c>
      <c r="X30" s="1457"/>
      <c r="Y30" s="3771"/>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771"/>
      <c r="Q31" s="1462"/>
      <c r="R31" s="1463"/>
      <c r="S31" s="1464"/>
      <c r="T31" s="1463"/>
      <c r="U31" s="1464"/>
      <c r="V31" s="1463"/>
      <c r="W31" s="1464"/>
      <c r="X31" s="1457"/>
      <c r="Y31" s="3771"/>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771"/>
      <c r="Q32" s="1462" t="str">
        <f t="shared" si="8"/>
        <v>土地级别</v>
      </c>
      <c r="R32" s="1463" t="s">
        <v>8</v>
      </c>
      <c r="S32" s="1464">
        <f t="shared" si="10"/>
        <v>100</v>
      </c>
      <c r="T32" s="1463" t="s">
        <v>8</v>
      </c>
      <c r="U32" s="1464">
        <f t="shared" si="11"/>
        <v>100</v>
      </c>
      <c r="V32" s="1463" t="s">
        <v>8</v>
      </c>
      <c r="W32" s="1464">
        <f t="shared" si="12"/>
        <v>100</v>
      </c>
      <c r="X32" s="1457"/>
      <c r="Y32" s="3771"/>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771"/>
      <c r="Q33" s="1462">
        <f t="shared" si="8"/>
        <v>111</v>
      </c>
      <c r="R33" s="1463" t="s">
        <v>8</v>
      </c>
      <c r="S33" s="1464">
        <f t="shared" si="10"/>
        <v>100</v>
      </c>
      <c r="T33" s="1463" t="s">
        <v>8</v>
      </c>
      <c r="U33" s="1464">
        <f t="shared" si="11"/>
        <v>100</v>
      </c>
      <c r="V33" s="1463" t="s">
        <v>8</v>
      </c>
      <c r="W33" s="1464">
        <f t="shared" si="12"/>
        <v>100</v>
      </c>
      <c r="X33" s="1457"/>
      <c r="Y33" s="3771"/>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772" t="s">
        <v>533</v>
      </c>
      <c r="Q34" s="1462">
        <f t="shared" si="8"/>
        <v>111</v>
      </c>
      <c r="R34" s="1463" t="s">
        <v>8</v>
      </c>
      <c r="S34" s="1464">
        <f t="shared" si="10"/>
        <v>100</v>
      </c>
      <c r="T34" s="1463" t="s">
        <v>8</v>
      </c>
      <c r="U34" s="1464">
        <f t="shared" si="11"/>
        <v>100</v>
      </c>
      <c r="V34" s="1463" t="s">
        <v>8</v>
      </c>
      <c r="W34" s="1464">
        <f t="shared" si="12"/>
        <v>100</v>
      </c>
      <c r="X34" s="1457"/>
      <c r="Y34" s="3773" t="s">
        <v>533</v>
      </c>
      <c r="Z34" s="1465">
        <f t="shared" si="13"/>
        <v>111</v>
      </c>
      <c r="AA34" s="1466">
        <f t="shared" si="3"/>
        <v>1</v>
      </c>
      <c r="AB34" s="1466">
        <f t="shared" si="4"/>
        <v>1</v>
      </c>
      <c r="AC34" s="1466">
        <f t="shared" si="5"/>
        <v>1</v>
      </c>
    </row>
    <row r="35" spans="1:29" s="1248"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773"/>
      <c r="Q35" s="1462">
        <f t="shared" si="8"/>
        <v>111</v>
      </c>
      <c r="R35" s="1467" t="s">
        <v>8</v>
      </c>
      <c r="S35" s="1468">
        <f t="shared" si="10"/>
        <v>100</v>
      </c>
      <c r="T35" s="1467" t="s">
        <v>8</v>
      </c>
      <c r="U35" s="1468">
        <f t="shared" si="11"/>
        <v>100</v>
      </c>
      <c r="V35" s="1467" t="s">
        <v>8</v>
      </c>
      <c r="W35" s="1468">
        <f t="shared" si="12"/>
        <v>100</v>
      </c>
      <c r="X35" s="1469"/>
      <c r="Y35" s="3773"/>
      <c r="Z35" s="1470">
        <f t="shared" si="13"/>
        <v>111</v>
      </c>
      <c r="AA35" s="1466">
        <f t="shared" si="3"/>
        <v>1</v>
      </c>
      <c r="AB35" s="1466">
        <f t="shared" si="4"/>
        <v>1</v>
      </c>
      <c r="AC35" s="1466">
        <f t="shared" si="5"/>
        <v>1</v>
      </c>
    </row>
    <row r="36" spans="1:29" ht="15">
      <c r="A36" s="2546"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773"/>
      <c r="Q36" s="1462" t="str">
        <f>B36</f>
        <v>宗地面积</v>
      </c>
      <c r="R36" s="1463" t="s">
        <v>8</v>
      </c>
      <c r="S36" s="1464" t="e">
        <f t="shared" si="10"/>
        <v>#N/A</v>
      </c>
      <c r="T36" s="1463" t="s">
        <v>8</v>
      </c>
      <c r="U36" s="1464" t="e">
        <f t="shared" si="11"/>
        <v>#N/A</v>
      </c>
      <c r="V36" s="1463" t="s">
        <v>8</v>
      </c>
      <c r="W36" s="1464" t="e">
        <f t="shared" si="12"/>
        <v>#N/A</v>
      </c>
      <c r="X36" s="1457"/>
      <c r="Y36" s="3773"/>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773"/>
      <c r="Q37" s="1462" t="str">
        <f t="shared" ref="Q37:Q42" si="14">B37</f>
        <v>宗地形状</v>
      </c>
      <c r="R37" s="1463" t="s">
        <v>8</v>
      </c>
      <c r="S37" s="1464">
        <f t="shared" si="10"/>
        <v>100</v>
      </c>
      <c r="T37" s="1463" t="s">
        <v>8</v>
      </c>
      <c r="U37" s="1464">
        <f t="shared" si="11"/>
        <v>100</v>
      </c>
      <c r="V37" s="1463" t="s">
        <v>8</v>
      </c>
      <c r="W37" s="1464">
        <f t="shared" si="12"/>
        <v>100</v>
      </c>
      <c r="X37" s="1457"/>
      <c r="Y37" s="3773"/>
      <c r="Z37" s="1465" t="str">
        <f t="shared" si="13"/>
        <v>宗地形状</v>
      </c>
      <c r="AA37" s="1466">
        <f t="shared" si="3"/>
        <v>1</v>
      </c>
      <c r="AB37" s="1466">
        <f t="shared" si="4"/>
        <v>1</v>
      </c>
      <c r="AC37" s="1466">
        <f t="shared" si="5"/>
        <v>1</v>
      </c>
    </row>
    <row r="38" spans="1:29" s="1166" customFormat="1" ht="15">
      <c r="A38" s="577"/>
      <c r="B38" s="1764"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773"/>
      <c r="Q38" s="1462" t="str">
        <f t="shared" si="14"/>
        <v>宗地开发程度</v>
      </c>
      <c r="R38" s="1458" t="s">
        <v>8</v>
      </c>
      <c r="S38" s="1459">
        <f t="shared" si="10"/>
        <v>100</v>
      </c>
      <c r="T38" s="1458" t="s">
        <v>8</v>
      </c>
      <c r="U38" s="1459">
        <f t="shared" si="11"/>
        <v>100</v>
      </c>
      <c r="V38" s="1458" t="s">
        <v>8</v>
      </c>
      <c r="W38" s="1459">
        <f t="shared" si="12"/>
        <v>100</v>
      </c>
      <c r="X38" s="1460"/>
      <c r="Y38" s="3773"/>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773" t="s">
        <v>583</v>
      </c>
      <c r="Q39" s="1462" t="str">
        <f t="shared" si="14"/>
        <v>工程地质条件</v>
      </c>
      <c r="R39" s="1463" t="s">
        <v>8</v>
      </c>
      <c r="S39" s="1464">
        <f t="shared" si="10"/>
        <v>100</v>
      </c>
      <c r="T39" s="1463" t="s">
        <v>8</v>
      </c>
      <c r="U39" s="1464">
        <f t="shared" si="11"/>
        <v>100</v>
      </c>
      <c r="V39" s="1463" t="s">
        <v>8</v>
      </c>
      <c r="W39" s="1464">
        <f t="shared" si="12"/>
        <v>100</v>
      </c>
      <c r="X39" s="1457"/>
      <c r="Y39" s="3773"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773"/>
      <c r="Q40" s="1462">
        <f t="shared" si="14"/>
        <v>111</v>
      </c>
      <c r="R40" s="1463" t="s">
        <v>8</v>
      </c>
      <c r="S40" s="1464">
        <f t="shared" si="10"/>
        <v>100</v>
      </c>
      <c r="T40" s="1463" t="s">
        <v>8</v>
      </c>
      <c r="U40" s="1464">
        <f t="shared" si="11"/>
        <v>100</v>
      </c>
      <c r="V40" s="1463" t="s">
        <v>8</v>
      </c>
      <c r="W40" s="1464">
        <f t="shared" si="12"/>
        <v>100</v>
      </c>
      <c r="X40" s="1457"/>
      <c r="Y40" s="3773"/>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773"/>
      <c r="Q41" s="1462">
        <f t="shared" si="14"/>
        <v>111</v>
      </c>
      <c r="R41" s="1463" t="s">
        <v>8</v>
      </c>
      <c r="S41" s="1464">
        <f t="shared" si="10"/>
        <v>100</v>
      </c>
      <c r="T41" s="1463" t="s">
        <v>8</v>
      </c>
      <c r="U41" s="1464">
        <f t="shared" si="11"/>
        <v>100</v>
      </c>
      <c r="V41" s="1463" t="s">
        <v>8</v>
      </c>
      <c r="W41" s="1464">
        <f t="shared" si="12"/>
        <v>100</v>
      </c>
      <c r="X41" s="1457"/>
      <c r="Y41" s="3773"/>
      <c r="Z41" s="1465">
        <f t="shared" si="13"/>
        <v>111</v>
      </c>
      <c r="AA41" s="1466">
        <f t="shared" si="3"/>
        <v>1</v>
      </c>
      <c r="AB41" s="1466">
        <f t="shared" si="4"/>
        <v>1</v>
      </c>
      <c r="AC41" s="1466">
        <f t="shared" si="5"/>
        <v>1</v>
      </c>
    </row>
    <row r="42" spans="1:29" s="1248"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773"/>
      <c r="Q42" s="1462">
        <f t="shared" si="14"/>
        <v>111</v>
      </c>
      <c r="R42" s="1467" t="s">
        <v>8</v>
      </c>
      <c r="S42" s="1468">
        <f t="shared" si="10"/>
        <v>100</v>
      </c>
      <c r="T42" s="1467" t="s">
        <v>8</v>
      </c>
      <c r="U42" s="1468">
        <f t="shared" si="11"/>
        <v>100</v>
      </c>
      <c r="V42" s="1467" t="s">
        <v>8</v>
      </c>
      <c r="W42" s="1468">
        <f t="shared" si="12"/>
        <v>100</v>
      </c>
      <c r="X42" s="1469"/>
      <c r="Y42" s="3773"/>
      <c r="Z42" s="1470">
        <f t="shared" si="13"/>
        <v>111</v>
      </c>
      <c r="AA42" s="1466">
        <f t="shared" si="3"/>
        <v>1</v>
      </c>
      <c r="AB42" s="1466">
        <f t="shared" si="4"/>
        <v>1</v>
      </c>
      <c r="AC42" s="1466">
        <f t="shared" si="5"/>
        <v>1</v>
      </c>
    </row>
    <row r="43" spans="1:29" ht="15">
      <c r="A43" s="584" t="s">
        <v>539</v>
      </c>
      <c r="B43" s="585" t="s">
        <v>2634</v>
      </c>
      <c r="C43" s="586" t="s">
        <v>1</v>
      </c>
      <c r="D43" s="587"/>
      <c r="E43" s="588"/>
      <c r="F43" s="589"/>
      <c r="G43" s="590"/>
      <c r="H43" s="591"/>
      <c r="I43" s="588"/>
      <c r="J43" s="591"/>
      <c r="K43" s="1249"/>
      <c r="L43" s="1980"/>
      <c r="M43" s="1970"/>
      <c r="N43" s="1970"/>
      <c r="O43" s="1981"/>
      <c r="P43" s="3737" t="str">
        <f>A43</f>
        <v>成交单价</v>
      </c>
      <c r="Q43" s="3737"/>
      <c r="R43" s="3738">
        <f>E43</f>
        <v>0</v>
      </c>
      <c r="S43" s="3738"/>
      <c r="T43" s="3738">
        <f>G43</f>
        <v>0</v>
      </c>
      <c r="U43" s="3738"/>
      <c r="V43" s="3738">
        <f>I43</f>
        <v>0</v>
      </c>
      <c r="W43" s="3738"/>
      <c r="X43" s="1452"/>
      <c r="Y43" s="1471"/>
      <c r="Z43" s="1452"/>
      <c r="AA43" s="1452"/>
      <c r="AB43" s="1452"/>
      <c r="AC43" s="1452"/>
    </row>
    <row r="44" spans="1:29" ht="15.75" thickBot="1">
      <c r="A44" s="592" t="s">
        <v>2409</v>
      </c>
      <c r="B44" s="593"/>
      <c r="C44" s="594" t="e">
        <f>R45</f>
        <v>#DIV/0!</v>
      </c>
      <c r="D44" s="2922" t="s">
        <v>2700</v>
      </c>
      <c r="E44" s="594" t="e">
        <f>R44</f>
        <v>#DIV/0!</v>
      </c>
      <c r="F44" s="2923"/>
      <c r="G44" s="595" t="e">
        <f>T44</f>
        <v>#DIV/0!</v>
      </c>
      <c r="H44" s="2923"/>
      <c r="I44" s="594" t="e">
        <f>V44</f>
        <v>#DIV/0!</v>
      </c>
      <c r="J44" s="2923"/>
      <c r="K44" s="2924">
        <f>F44+H44+J44</f>
        <v>0</v>
      </c>
      <c r="L44" s="1980"/>
      <c r="M44" s="1970"/>
      <c r="N44" s="1970"/>
      <c r="O44" s="1981"/>
      <c r="P44" s="3737" t="str">
        <f>A44</f>
        <v>比较价格（元/平方米）</v>
      </c>
      <c r="Q44" s="3737"/>
      <c r="R44" s="3739" t="e">
        <f>ROUND(PRODUCT(R43,AA9:AA42),0)</f>
        <v>#DIV/0!</v>
      </c>
      <c r="S44" s="3739"/>
      <c r="T44" s="3739" t="e">
        <f>ROUND(PRODUCT(T43,AB9:AB42),0)</f>
        <v>#DIV/0!</v>
      </c>
      <c r="U44" s="3739"/>
      <c r="V44" s="3739" t="e">
        <f>ROUND(PRODUCT(V43,AC9:AC42),0)</f>
        <v>#DIV/0!</v>
      </c>
      <c r="W44" s="3739"/>
      <c r="X44" s="1452"/>
      <c r="Y44" s="1452"/>
      <c r="Z44" s="1452"/>
      <c r="AA44" s="1452"/>
      <c r="AB44" s="1452"/>
      <c r="AC44" s="1452"/>
    </row>
    <row r="45" spans="1:29" ht="15.75" thickBot="1">
      <c r="A45" s="596" t="s">
        <v>2635</v>
      </c>
      <c r="B45" s="597"/>
      <c r="C45" s="598" t="e">
        <f>R45</f>
        <v>#DIV/0!</v>
      </c>
      <c r="D45" s="598"/>
      <c r="E45" s="598"/>
      <c r="F45" s="598"/>
      <c r="G45" s="598"/>
      <c r="H45" s="598"/>
      <c r="I45" s="598"/>
      <c r="J45" s="598"/>
      <c r="K45" s="1250"/>
      <c r="L45" s="1980"/>
      <c r="M45" s="1970"/>
      <c r="N45" s="1970"/>
      <c r="O45" s="1981"/>
      <c r="P45" s="3774" t="str">
        <f>A45</f>
        <v>估价对象XX用房的比较价格（楼面单价，元/平方米）</v>
      </c>
      <c r="Q45" s="3775"/>
      <c r="R45" s="3786" t="e">
        <f>ROUND(IF(D44="简单平均",AVERAGE(R44:W44),R44*F44+T44*H44+V44*J44),0)</f>
        <v>#DIV/0!</v>
      </c>
      <c r="S45" s="3786"/>
      <c r="T45" s="3786"/>
      <c r="U45" s="3786"/>
      <c r="V45" s="3786"/>
      <c r="W45" s="3786"/>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1524</v>
      </c>
      <c r="D52" s="2061" t="s">
        <v>2083</v>
      </c>
      <c r="E52" s="606" t="s">
        <v>545</v>
      </c>
      <c r="F52" s="1820" t="s">
        <v>546</v>
      </c>
      <c r="G52" s="3782" t="s">
        <v>2075</v>
      </c>
      <c r="H52" s="3783"/>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8" t="s">
        <v>547</v>
      </c>
      <c r="B53" s="609" t="e">
        <f>C45</f>
        <v>#DIV/0!</v>
      </c>
      <c r="C53" s="610">
        <v>1</v>
      </c>
      <c r="D53" s="2062">
        <v>1</v>
      </c>
      <c r="E53" s="610">
        <f>'数据-汇总表'!E8+'数据-汇总表'!E9</f>
        <v>159485.44999999998</v>
      </c>
      <c r="F53" s="1819" t="e">
        <f t="shared" ref="F53:F61" si="15">ROUND(B53*E53/10000,0)</f>
        <v>#DIV/0!</v>
      </c>
      <c r="G53" s="3784"/>
      <c r="H53" s="3785"/>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2" t="s">
        <v>548</v>
      </c>
      <c r="B54" s="613" t="e">
        <f>ROUND($C$45*C54*D54,0)</f>
        <v>#DIV/0!</v>
      </c>
      <c r="C54" s="372">
        <f t="shared" ref="C54:C61" si="16">IF($C$52="北京市系数",I54,J54)</f>
        <v>0</v>
      </c>
      <c r="D54" s="2063">
        <v>0.25</v>
      </c>
      <c r="E54" s="614"/>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2" t="s">
        <v>549</v>
      </c>
      <c r="B55" s="613" t="e">
        <f t="shared" ref="B55:B61" si="17">ROUND($C$45*C55*D55,0)</f>
        <v>#DIV/0!</v>
      </c>
      <c r="C55" s="372">
        <f t="shared" si="16"/>
        <v>0</v>
      </c>
      <c r="D55" s="2063">
        <v>0.25</v>
      </c>
      <c r="E55" s="614"/>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2" t="s">
        <v>550</v>
      </c>
      <c r="B56" s="613" t="e">
        <f t="shared" si="17"/>
        <v>#DIV/0!</v>
      </c>
      <c r="C56" s="372">
        <f t="shared" si="16"/>
        <v>0</v>
      </c>
      <c r="D56" s="2063">
        <v>0.25</v>
      </c>
      <c r="E56" s="614"/>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2117</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552</v>
      </c>
      <c r="B59" s="613" t="e">
        <f t="shared" si="17"/>
        <v>#DIV/0!</v>
      </c>
      <c r="C59" s="372">
        <f t="shared" si="16"/>
        <v>0</v>
      </c>
      <c r="D59" s="2063">
        <v>0.25</v>
      </c>
      <c r="E59" s="616">
        <f>'数据-汇总表'!E13</f>
        <v>62819.43</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7" t="s">
        <v>555</v>
      </c>
      <c r="B62" s="618" t="s">
        <v>17</v>
      </c>
      <c r="C62" s="618" t="s">
        <v>18</v>
      </c>
      <c r="D62" s="618" t="s">
        <v>2084</v>
      </c>
      <c r="E62" s="618">
        <f>IF(B43="楼面地价",SUM(E53:E61),'数据-汇总表'!D3)</f>
        <v>64770.31</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2022-7-1</v>
      </c>
      <c r="D64" s="2438">
        <f>EDATE(C64,-3)</f>
        <v>44652</v>
      </c>
      <c r="E64" s="2438">
        <f t="shared" ref="E64:N64" si="18">EDATE(D64,-3)</f>
        <v>44562</v>
      </c>
      <c r="F64" s="2438">
        <f t="shared" si="18"/>
        <v>44470</v>
      </c>
      <c r="G64" s="2438">
        <f t="shared" si="18"/>
        <v>44378</v>
      </c>
      <c r="H64" s="2438">
        <f t="shared" si="18"/>
        <v>44287</v>
      </c>
      <c r="I64" s="2438">
        <f t="shared" si="18"/>
        <v>44197</v>
      </c>
      <c r="J64" s="2438">
        <f t="shared" si="18"/>
        <v>44105</v>
      </c>
      <c r="K64" s="2438">
        <f t="shared" si="18"/>
        <v>44013</v>
      </c>
      <c r="L64" s="2438">
        <f t="shared" si="18"/>
        <v>43922</v>
      </c>
      <c r="M64" s="2438">
        <f t="shared" si="18"/>
        <v>43831</v>
      </c>
      <c r="N64" s="2438">
        <f t="shared" si="18"/>
        <v>43739</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2250</v>
      </c>
      <c r="B66" s="621"/>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2365</v>
      </c>
      <c r="B67" s="472" t="str">
        <f>"北京市平均增长率"&amp;TEXT(基准地价!P24,"0.00%")</f>
        <v>北京市平均增长率1.13%</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2"/>
      <c r="B92" s="1765" t="s">
        <v>2265</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2"/>
      <c r="B94" s="2363" t="s">
        <v>2267</v>
      </c>
      <c r="C94" s="2364" t="s">
        <v>2268</v>
      </c>
      <c r="D94" s="2364" t="s">
        <v>2269</v>
      </c>
      <c r="E94" s="2364" t="s">
        <v>2270</v>
      </c>
      <c r="F94" s="2364" t="s">
        <v>2271</v>
      </c>
      <c r="G94" s="2364" t="s">
        <v>2272</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2211</v>
      </c>
      <c r="C113" s="1282"/>
      <c r="D113" s="1282"/>
      <c r="E113" s="1282"/>
      <c r="F113" s="1282"/>
      <c r="G113" s="1282"/>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2212</v>
      </c>
      <c r="D1" s="1416">
        <f>SUM(D29:D30,D33:D39)</f>
        <v>0</v>
      </c>
      <c r="E1" s="1310" t="s">
        <v>2213</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2477</v>
      </c>
      <c r="S1" s="2575" t="s">
        <v>2478</v>
      </c>
      <c r="T1" s="2575" t="s">
        <v>2499</v>
      </c>
      <c r="U1" s="2575" t="s">
        <v>2500</v>
      </c>
      <c r="V1" s="2575" t="s">
        <v>2501</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t="e">
        <f>ROUND(IF(G3&gt;1,IF(R2&lt;7,SUMPRODUCT((B93:B98=R2)*(C92:N92=G2)*(C93:N98)),SUMIF(C92:N92,G2,C100:N100)),IF(R2&lt;7,SUMPRODUCT((B102:B107=R2)*(C92:N92=G2)*(C102:N107)),SUMIF(C92:N92,G2,C109:N109))),4)</f>
        <v>#DIV/0!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0</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t="e">
        <f>ROUND(IF(G3&gt;1,IF(R3&lt;7,SUMPRODUCT((B93:B98=R3)*(C92:N92=G2)*(C93:N98)),SUMIF(C92:N92,G2,C100:N100)),IF(R3&lt;7,SUMPRODUCT((B102:B107=R3)*(C92:N92=G2)*(C102:N107)),SUMIF(C92:N92,G2,C109:N109))),4)</f>
        <v>#DIV/0!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t="e">
        <f>ROUND(IF(G3&gt;1,IF(R4&lt;7,SUMPRODUCT((B93:B98=R4)*(C92:N92=G2)*(C93:N98)),SUMIF(C92:N92,G2,C100:N100)),IF(R4&lt;7,SUMPRODUCT((B102:B107=R4)*(C92:N92=G2)*(C102:N107)),SUMIF(C92:N92,G2,C109:N109))),4)</f>
        <v>#DIV/0!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t="e">
        <f>ROUND(IF(G3&gt;1,IF(R5&lt;7,SUMPRODUCT((B93:B98=R5)*(C92:N92=G2)*(C93:N98)),SUMIF(C92:N92,G2,C100:N100)),IF(R5&lt;7,SUMPRODUCT((B102:B107=R5)*(C92:N92=G2)*(C102:N107)),SUMIF(C92:N92,G2,C109:N109))),4)</f>
        <v>#DIV/0!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t="e">
        <f>ROUND(IF(G3&gt;1,IF(R6&lt;7,SUMPRODUCT((B93:B98=R6)*(C92:N92=G2)*(C93:N98)),SUMIF(C92:N92,G2,C100:N100)),IF(R6&lt;7,SUMPRODUCT((B102:B107=R6)*(C92:N92=G2)*(C102:N107)),SUMIF(C92:N92,G2,C109:N109))),4)</f>
        <v>#DIV/0!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801"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t="e">
        <f>ROUND(IF(G3&gt;1,IF(R7&lt;7,SUMPRODUCT((B93:B98=R7)*(C92:N92=G2)*(C93:N98)),SUMIF(C92:N92,G2,C100:N100)),IF(R7&lt;7,SUMPRODUCT((B102:B107=R7)*(C92:N92=G2)*(C102:N107)),SUMIF(C92:N92,G2,C109:N109))),4)</f>
        <v>#DIV/0!</v>
      </c>
      <c r="T7" s="2576" t="e">
        <f t="shared" si="0"/>
        <v>#DIV/0!</v>
      </c>
      <c r="U7" s="2565"/>
      <c r="V7" s="2576" t="e">
        <f t="shared" si="1"/>
        <v>#DIV/0!</v>
      </c>
      <c r="W7" s="2574" t="s">
        <v>2480</v>
      </c>
      <c r="X7" s="2566">
        <f>G2</f>
        <v>0</v>
      </c>
      <c r="Y7" s="2566" t="s">
        <v>2481</v>
      </c>
      <c r="Z7" s="2567">
        <f>G3</f>
        <v>0</v>
      </c>
      <c r="AA7" s="2027"/>
      <c r="AB7" s="2027"/>
      <c r="AC7" s="2028"/>
      <c r="AD7" s="2568"/>
      <c r="AE7" s="2568"/>
      <c r="AF7" s="2568"/>
      <c r="AG7" s="2568"/>
      <c r="AH7" s="2568"/>
      <c r="AI7" s="2568"/>
      <c r="AJ7" s="2569"/>
    </row>
    <row r="8" spans="1:39" ht="15">
      <c r="A8" s="3802"/>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88" t="s">
        <v>2498</v>
      </c>
      <c r="X8" s="3789"/>
      <c r="Y8" s="1718" t="s">
        <v>2482</v>
      </c>
      <c r="Z8" s="1718" t="s">
        <v>2483</v>
      </c>
      <c r="AA8" s="1718" t="s">
        <v>2484</v>
      </c>
      <c r="AB8" s="1718" t="s">
        <v>2485</v>
      </c>
      <c r="AC8" s="1718" t="s">
        <v>2486</v>
      </c>
      <c r="AD8" s="1718" t="s">
        <v>2487</v>
      </c>
      <c r="AE8" s="1718" t="s">
        <v>2488</v>
      </c>
      <c r="AF8" s="1718" t="s">
        <v>2489</v>
      </c>
      <c r="AG8" s="1718" t="s">
        <v>2490</v>
      </c>
      <c r="AH8" s="1718" t="s">
        <v>2491</v>
      </c>
      <c r="AI8" s="1718" t="s">
        <v>2492</v>
      </c>
      <c r="AJ8" s="1718" t="s">
        <v>2493</v>
      </c>
    </row>
    <row r="9" spans="1:39" ht="15">
      <c r="A9" s="3802"/>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87" t="s">
        <v>2494</v>
      </c>
      <c r="X9" s="2570" t="s">
        <v>2495</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802"/>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87"/>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802"/>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87" t="s">
        <v>2496</v>
      </c>
      <c r="X11" s="1017" t="s">
        <v>2481</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801"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87"/>
      <c r="X12" s="2573" t="s">
        <v>2497</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803"/>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87"/>
      <c r="X13" s="2573"/>
      <c r="Y13" s="2572" t="e">
        <f>(-0.163*(Y12^2)-0.59*Y12+7617)*(10^(-4))/Y11</f>
        <v>#DIV/0!</v>
      </c>
      <c r="Z13" s="2572" t="e">
        <f t="shared" ref="Z13:AJ13" si="5">(-0.163*(Z12^2)-0.59*Z12+7617)*(10^(-4))/Z11</f>
        <v>#DIV/0!</v>
      </c>
      <c r="AA13" s="2572" t="e">
        <f t="shared" si="5"/>
        <v>#DIV/0!</v>
      </c>
      <c r="AB13" s="2572" t="e">
        <f t="shared" si="5"/>
        <v>#DIV/0!</v>
      </c>
      <c r="AC13" s="2572" t="e">
        <f t="shared" si="5"/>
        <v>#DIV/0!</v>
      </c>
      <c r="AD13" s="2572" t="e">
        <f t="shared" si="5"/>
        <v>#DIV/0!</v>
      </c>
      <c r="AE13" s="2572" t="e">
        <f t="shared" si="5"/>
        <v>#DIV/0!</v>
      </c>
      <c r="AF13" s="2572" t="e">
        <f t="shared" si="5"/>
        <v>#DIV/0!</v>
      </c>
      <c r="AG13" s="2572" t="e">
        <f t="shared" si="5"/>
        <v>#DIV/0!</v>
      </c>
      <c r="AH13" s="2572" t="e">
        <f t="shared" si="5"/>
        <v>#DIV/0!</v>
      </c>
      <c r="AI13" s="2572" t="e">
        <f t="shared" si="5"/>
        <v>#DIV/0!</v>
      </c>
      <c r="AJ13" s="2572" t="e">
        <f t="shared" si="5"/>
        <v>#DIV/0!</v>
      </c>
    </row>
    <row r="14" spans="1:39" ht="12.75" customHeight="1">
      <c r="A14" s="3803"/>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804"/>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801" t="s">
        <v>1638</v>
      </c>
      <c r="B16" s="1331" t="s">
        <v>929</v>
      </c>
      <c r="C16" s="1021" t="e">
        <f>ROUND(IF(F17="与级别开发程度一致",0,(G17-E17)/C17),0)</f>
        <v>#DIV/0!</v>
      </c>
      <c r="D16" s="3795" t="s">
        <v>933</v>
      </c>
      <c r="E16" s="3796"/>
      <c r="F16" s="3795" t="s">
        <v>930</v>
      </c>
      <c r="G16" s="3796"/>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805"/>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44747</v>
      </c>
      <c r="H19" s="1371" t="s">
        <v>2685</v>
      </c>
      <c r="I19" s="2425" t="str">
        <f>IF(H19="季度增幅（自定义）",SUMIF(N21:N24,E2,O21:O24),"")</f>
        <v/>
      </c>
      <c r="J19" s="1367"/>
      <c r="K19" s="3142"/>
      <c r="L19" s="2672" t="s">
        <v>2554</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2555</v>
      </c>
      <c r="M20" s="2755">
        <f>ROUND(SUMPRODUCT((地价!A4:A41=YEAR(G19)&amp;"-"&amp;ROUNDUP(MONTH(G19)/3,0))*(地价!B2:F2=E2)*(地价!B4:F41)),0)</f>
        <v>0</v>
      </c>
      <c r="N20" s="2430" t="s">
        <v>2361</v>
      </c>
      <c r="O20" s="2428" t="s">
        <v>2360</v>
      </c>
      <c r="P20" s="2429" t="s">
        <v>2366</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2718</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2364</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97"/>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97" t="s">
        <v>2722</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98"/>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98"/>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98"/>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98"/>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99"/>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99"/>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2680</v>
      </c>
      <c r="C41" s="811" t="e">
        <f>ROUND(POWER(1+E41,H41-G41)*(POWER(1+E41,G41)-1)/(POWER(1+E41,H41)-1),4)</f>
        <v>#DIV/0!</v>
      </c>
      <c r="D41" s="372" t="s">
        <v>2678</v>
      </c>
      <c r="E41" s="2750">
        <f>G20</f>
        <v>0</v>
      </c>
      <c r="F41" s="372" t="s">
        <v>2679</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2204</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2637</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2636</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2204</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2638</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2636</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2204</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2636</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2204</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2636</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806" t="s">
        <v>1434</v>
      </c>
      <c r="B90" s="3806"/>
      <c r="C90" s="3806"/>
      <c r="D90" s="3806"/>
      <c r="E90" s="3806"/>
      <c r="F90" s="3806"/>
      <c r="G90" s="3806"/>
      <c r="H90" s="3806"/>
      <c r="I90" s="3806"/>
      <c r="J90" s="3806"/>
      <c r="K90" s="2259"/>
      <c r="L90" s="2259"/>
      <c r="M90" s="2259"/>
      <c r="N90" s="2259"/>
    </row>
    <row r="91" spans="1:40">
      <c r="A91" s="3807" t="s">
        <v>1422</v>
      </c>
      <c r="B91" s="3807" t="s">
        <v>1435</v>
      </c>
      <c r="C91" s="1086" t="s">
        <v>1436</v>
      </c>
      <c r="D91" s="1087"/>
      <c r="E91" s="1087"/>
      <c r="F91" s="1087"/>
      <c r="G91" s="1087"/>
      <c r="H91" s="1087"/>
      <c r="I91" s="1087"/>
      <c r="J91" s="1088"/>
      <c r="K91" s="1080"/>
      <c r="L91" s="1080"/>
      <c r="M91" s="1080"/>
      <c r="N91" s="1080"/>
    </row>
    <row r="92" spans="1:40">
      <c r="A92" s="3807"/>
      <c r="B92" s="3807"/>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90" t="s">
        <v>2479</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91"/>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91"/>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91"/>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91"/>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91"/>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91"/>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92"/>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90" t="s">
        <v>1438</v>
      </c>
      <c r="B101" s="1093" t="s">
        <v>885</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791"/>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791"/>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791"/>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791"/>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791"/>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791"/>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791"/>
      <c r="B108" s="3793"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92"/>
      <c r="B109" s="3794"/>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800" t="s">
        <v>1440</v>
      </c>
      <c r="B110" s="3800"/>
      <c r="C110" s="3800"/>
      <c r="D110" s="3800"/>
      <c r="E110" s="3800"/>
      <c r="F110" s="3800"/>
      <c r="G110" s="3800"/>
      <c r="H110" s="3800"/>
      <c r="I110" s="3800"/>
      <c r="J110" s="3800"/>
      <c r="K110" s="2257"/>
      <c r="L110" s="2257"/>
      <c r="M110" s="2257"/>
      <c r="N110" s="2257"/>
    </row>
    <row r="112" spans="1:14" ht="12.75" thickBot="1"/>
    <row r="113" spans="1:13" ht="25.5" thickBot="1">
      <c r="A113" s="985" t="s">
        <v>875</v>
      </c>
      <c r="B113" s="2260">
        <f>G3</f>
        <v>0</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880</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881</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882</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2892</v>
      </c>
      <c r="B2" s="3401">
        <v>3.5</v>
      </c>
      <c r="C2" s="3401">
        <v>3.5</v>
      </c>
      <c r="D2" s="3402">
        <v>2.5</v>
      </c>
      <c r="E2" s="3402">
        <v>2.5</v>
      </c>
      <c r="F2" s="3402">
        <v>2.5</v>
      </c>
      <c r="G2" s="3402">
        <v>2.5</v>
      </c>
      <c r="H2" s="3402">
        <v>2.5</v>
      </c>
      <c r="I2" s="3401">
        <v>2</v>
      </c>
      <c r="J2" s="3401">
        <v>2</v>
      </c>
      <c r="K2" s="3401">
        <v>2</v>
      </c>
      <c r="L2" s="3401">
        <v>2</v>
      </c>
      <c r="M2" s="3403">
        <v>2</v>
      </c>
    </row>
    <row r="3" spans="1:13">
      <c r="A3" s="3404" t="s">
        <v>2893</v>
      </c>
      <c r="B3" s="3405">
        <v>3.5</v>
      </c>
      <c r="C3" s="3405">
        <v>3.5</v>
      </c>
      <c r="D3" s="3406">
        <v>2.5</v>
      </c>
      <c r="E3" s="3406">
        <v>2.5</v>
      </c>
      <c r="F3" s="3406">
        <v>2.5</v>
      </c>
      <c r="G3" s="3406">
        <v>2.5</v>
      </c>
      <c r="H3" s="3406">
        <v>2.5</v>
      </c>
      <c r="I3" s="3405">
        <v>2</v>
      </c>
      <c r="J3" s="3405">
        <v>2</v>
      </c>
      <c r="K3" s="3405">
        <v>2</v>
      </c>
      <c r="L3" s="3405">
        <v>2</v>
      </c>
      <c r="M3" s="3407">
        <v>2</v>
      </c>
    </row>
    <row r="4" spans="1:13">
      <c r="A4" s="3404" t="s">
        <v>2894</v>
      </c>
      <c r="B4" s="3406">
        <v>2.5</v>
      </c>
      <c r="C4" s="3406">
        <v>2.5</v>
      </c>
      <c r="D4" s="3406">
        <v>2.5</v>
      </c>
      <c r="E4" s="3406">
        <v>2.5</v>
      </c>
      <c r="F4" s="3406">
        <v>2.5</v>
      </c>
      <c r="G4" s="3406">
        <v>2.5</v>
      </c>
      <c r="H4" s="3406">
        <v>2.5</v>
      </c>
      <c r="I4" s="3405">
        <v>1.5</v>
      </c>
      <c r="J4" s="3405">
        <v>1.5</v>
      </c>
      <c r="K4" s="3405">
        <v>1.5</v>
      </c>
      <c r="L4" s="3405">
        <v>1.5</v>
      </c>
      <c r="M4" s="3407">
        <v>1.5</v>
      </c>
    </row>
    <row r="5" spans="1:13">
      <c r="A5" s="3408" t="s">
        <v>2895</v>
      </c>
      <c r="B5" s="3405">
        <v>1.5</v>
      </c>
      <c r="C5" s="3405">
        <v>1.5</v>
      </c>
      <c r="D5" s="3405">
        <v>1.5</v>
      </c>
      <c r="E5" s="3405">
        <v>1.5</v>
      </c>
      <c r="F5" s="3405">
        <v>1.5</v>
      </c>
      <c r="G5" s="3405">
        <v>1.2</v>
      </c>
      <c r="H5" s="3405">
        <v>1.2</v>
      </c>
      <c r="I5" s="3405">
        <v>1</v>
      </c>
      <c r="J5" s="3405">
        <v>1</v>
      </c>
      <c r="K5" s="3405">
        <v>1</v>
      </c>
      <c r="L5" s="3405">
        <v>1</v>
      </c>
      <c r="M5" s="3407">
        <v>1</v>
      </c>
    </row>
    <row r="6" spans="1:13">
      <c r="A6" s="3409" t="s">
        <v>2896</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2897</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2682</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2898</v>
      </c>
      <c r="B19" s="3423" t="s">
        <v>2899</v>
      </c>
      <c r="C19" s="3424" t="s">
        <v>2900</v>
      </c>
      <c r="D19" s="3425"/>
      <c r="E19" s="3419" t="s">
        <v>2901</v>
      </c>
      <c r="F19" s="1078"/>
      <c r="G19" s="1078"/>
    </row>
    <row r="20" spans="1:13" s="1485" customFormat="1">
      <c r="A20" s="3808" t="s">
        <v>2892</v>
      </c>
      <c r="B20" s="3811" t="s">
        <v>2902</v>
      </c>
      <c r="C20" s="3426" t="s">
        <v>2903</v>
      </c>
      <c r="D20" s="3427"/>
      <c r="E20" s="3428">
        <v>1</v>
      </c>
      <c r="F20" s="3429" t="s">
        <v>2904</v>
      </c>
      <c r="G20" s="1080"/>
      <c r="H20" s="1070"/>
      <c r="I20" s="1070"/>
    </row>
    <row r="21" spans="1:13" s="1485" customFormat="1">
      <c r="A21" s="3809"/>
      <c r="B21" s="3812"/>
      <c r="C21" s="3430" t="s">
        <v>2905</v>
      </c>
      <c r="D21" s="3431"/>
      <c r="E21" s="3432">
        <v>1</v>
      </c>
      <c r="F21" s="3429" t="s">
        <v>2906</v>
      </c>
      <c r="G21" s="1080"/>
      <c r="H21" s="1070"/>
      <c r="I21" s="1070"/>
    </row>
    <row r="22" spans="1:13" s="1485" customFormat="1">
      <c r="A22" s="3809"/>
      <c r="B22" s="3812"/>
      <c r="C22" s="3430" t="s">
        <v>2907</v>
      </c>
      <c r="D22" s="3431"/>
      <c r="E22" s="3432">
        <v>0.9</v>
      </c>
      <c r="F22" s="3429" t="s">
        <v>2908</v>
      </c>
      <c r="G22" s="1080"/>
      <c r="H22" s="1070"/>
      <c r="I22" s="1070"/>
    </row>
    <row r="23" spans="1:13" s="1485" customFormat="1">
      <c r="A23" s="3809"/>
      <c r="B23" s="3812"/>
      <c r="C23" s="3430" t="s">
        <v>2909</v>
      </c>
      <c r="D23" s="3431"/>
      <c r="E23" s="3432">
        <v>0.9</v>
      </c>
      <c r="F23" s="3429" t="s">
        <v>2910</v>
      </c>
      <c r="G23" s="1080"/>
      <c r="H23" s="1070"/>
      <c r="I23" s="1070"/>
    </row>
    <row r="24" spans="1:13" s="1485" customFormat="1">
      <c r="A24" s="3809"/>
      <c r="B24" s="3812"/>
      <c r="C24" s="3430" t="s">
        <v>2911</v>
      </c>
      <c r="D24" s="3431"/>
      <c r="E24" s="3432">
        <v>0.8</v>
      </c>
      <c r="F24" s="3429" t="s">
        <v>2912</v>
      </c>
      <c r="G24" s="1080"/>
      <c r="H24" s="1070"/>
      <c r="I24" s="1070"/>
    </row>
    <row r="25" spans="1:13" s="1485" customFormat="1" ht="14.25" thickBot="1">
      <c r="A25" s="3810"/>
      <c r="B25" s="3813"/>
      <c r="C25" s="3433" t="s">
        <v>2913</v>
      </c>
      <c r="D25" s="3434"/>
      <c r="E25" s="3435">
        <v>0.8</v>
      </c>
      <c r="F25" s="3429" t="s">
        <v>2914</v>
      </c>
      <c r="G25" s="1080"/>
      <c r="H25" s="1070"/>
      <c r="I25" s="1070"/>
    </row>
    <row r="26" spans="1:13" s="1485" customFormat="1" ht="14.25" thickBot="1">
      <c r="A26" s="3436" t="s">
        <v>2893</v>
      </c>
      <c r="B26" s="3437" t="s">
        <v>2902</v>
      </c>
      <c r="C26" s="3438" t="s">
        <v>2915</v>
      </c>
      <c r="D26" s="3439"/>
      <c r="E26" s="3440">
        <v>1</v>
      </c>
      <c r="F26" s="3429" t="s">
        <v>2916</v>
      </c>
      <c r="G26" s="1080"/>
      <c r="H26" s="1070"/>
      <c r="I26" s="1070"/>
    </row>
    <row r="27" spans="1:13" s="1485" customFormat="1">
      <c r="A27" s="3814" t="s">
        <v>2897</v>
      </c>
      <c r="B27" s="3811" t="s">
        <v>2897</v>
      </c>
      <c r="C27" s="3426" t="s">
        <v>2917</v>
      </c>
      <c r="D27" s="3427"/>
      <c r="E27" s="3428">
        <v>1</v>
      </c>
      <c r="F27" s="3429" t="s">
        <v>2918</v>
      </c>
      <c r="G27" s="1080"/>
      <c r="H27" s="1070"/>
      <c r="I27" s="1070"/>
    </row>
    <row r="28" spans="1:13" s="1485" customFormat="1">
      <c r="A28" s="3815"/>
      <c r="B28" s="3812"/>
      <c r="C28" s="3430" t="s">
        <v>2919</v>
      </c>
      <c r="D28" s="3431"/>
      <c r="E28" s="3432">
        <v>1</v>
      </c>
      <c r="F28" s="3429" t="s">
        <v>2920</v>
      </c>
      <c r="G28" s="1080"/>
      <c r="H28" s="1070"/>
      <c r="I28" s="1070"/>
    </row>
    <row r="29" spans="1:13" s="1485" customFormat="1">
      <c r="A29" s="3815"/>
      <c r="B29" s="3812"/>
      <c r="C29" s="3430" t="s">
        <v>2921</v>
      </c>
      <c r="D29" s="3431"/>
      <c r="E29" s="3432">
        <v>0.8</v>
      </c>
      <c r="F29" s="3429" t="s">
        <v>2922</v>
      </c>
      <c r="G29" s="1080"/>
      <c r="H29" s="1070"/>
      <c r="I29" s="1070"/>
    </row>
    <row r="30" spans="1:13" s="1485" customFormat="1">
      <c r="A30" s="3815"/>
      <c r="B30" s="3812"/>
      <c r="C30" s="3430" t="s">
        <v>2923</v>
      </c>
      <c r="D30" s="3431"/>
      <c r="E30" s="3432">
        <v>0.8</v>
      </c>
      <c r="F30" s="3429" t="s">
        <v>2924</v>
      </c>
      <c r="G30" s="1080"/>
      <c r="H30" s="1070"/>
      <c r="I30" s="1070"/>
    </row>
    <row r="31" spans="1:13" s="1485" customFormat="1">
      <c r="A31" s="3815"/>
      <c r="B31" s="3812"/>
      <c r="C31" s="3430" t="s">
        <v>2925</v>
      </c>
      <c r="D31" s="3431"/>
      <c r="E31" s="3432">
        <v>0.8</v>
      </c>
      <c r="F31" s="3429" t="s">
        <v>2926</v>
      </c>
      <c r="G31" s="1080"/>
      <c r="H31" s="1070"/>
      <c r="I31" s="1070"/>
    </row>
    <row r="32" spans="1:13" s="1485" customFormat="1">
      <c r="A32" s="3815"/>
      <c r="B32" s="3812"/>
      <c r="C32" s="3430" t="s">
        <v>2927</v>
      </c>
      <c r="D32" s="3431"/>
      <c r="E32" s="3432">
        <v>0.7</v>
      </c>
      <c r="F32" s="3429" t="s">
        <v>2928</v>
      </c>
      <c r="G32" s="1080"/>
      <c r="H32" s="1070"/>
      <c r="I32" s="1070"/>
    </row>
    <row r="33" spans="1:9" s="1485" customFormat="1">
      <c r="A33" s="3815"/>
      <c r="B33" s="3812"/>
      <c r="C33" s="3430" t="s">
        <v>2929</v>
      </c>
      <c r="D33" s="3431"/>
      <c r="E33" s="3432">
        <v>0.8</v>
      </c>
      <c r="F33" s="3429" t="s">
        <v>2930</v>
      </c>
      <c r="G33" s="1080"/>
      <c r="H33" s="1070"/>
      <c r="I33" s="1070"/>
    </row>
    <row r="34" spans="1:9" s="1485" customFormat="1">
      <c r="A34" s="3815"/>
      <c r="B34" s="3812"/>
      <c r="C34" s="3430" t="s">
        <v>2931</v>
      </c>
      <c r="D34" s="3431"/>
      <c r="E34" s="3432">
        <v>0.6</v>
      </c>
      <c r="F34" s="3429" t="s">
        <v>2932</v>
      </c>
      <c r="G34" s="1080"/>
      <c r="H34" s="1070"/>
      <c r="I34" s="1070"/>
    </row>
    <row r="35" spans="1:9" s="1485" customFormat="1">
      <c r="A35" s="3815"/>
      <c r="B35" s="3812"/>
      <c r="C35" s="3430" t="s">
        <v>2933</v>
      </c>
      <c r="D35" s="3431"/>
      <c r="E35" s="3432">
        <v>0.2</v>
      </c>
      <c r="F35" s="3429" t="s">
        <v>2934</v>
      </c>
      <c r="G35" s="1080"/>
      <c r="H35" s="1070"/>
      <c r="I35" s="1070"/>
    </row>
    <row r="36" spans="1:9" s="1485" customFormat="1">
      <c r="A36" s="3815"/>
      <c r="B36" s="3812"/>
      <c r="C36" s="3430" t="s">
        <v>2935</v>
      </c>
      <c r="D36" s="3431"/>
      <c r="E36" s="3432">
        <v>0.2</v>
      </c>
      <c r="F36" s="3429" t="s">
        <v>2936</v>
      </c>
      <c r="G36" s="1080"/>
      <c r="H36" s="1070"/>
      <c r="I36" s="1070"/>
    </row>
    <row r="37" spans="1:9" s="1485" customFormat="1">
      <c r="A37" s="3815"/>
      <c r="B37" s="3817" t="s">
        <v>2937</v>
      </c>
      <c r="C37" s="3430" t="s">
        <v>2938</v>
      </c>
      <c r="D37" s="3431"/>
      <c r="E37" s="3432">
        <v>0.6</v>
      </c>
      <c r="F37" s="3429" t="s">
        <v>2939</v>
      </c>
      <c r="G37" s="1080"/>
      <c r="H37" s="1070"/>
      <c r="I37" s="1070"/>
    </row>
    <row r="38" spans="1:9" s="1485" customFormat="1">
      <c r="A38" s="3815"/>
      <c r="B38" s="3812"/>
      <c r="C38" s="3430" t="s">
        <v>2940</v>
      </c>
      <c r="D38" s="3431"/>
      <c r="E38" s="3432">
        <v>0.6</v>
      </c>
      <c r="F38" s="3429" t="s">
        <v>2941</v>
      </c>
      <c r="G38" s="1080"/>
      <c r="H38" s="1070"/>
      <c r="I38" s="1070"/>
    </row>
    <row r="39" spans="1:9" s="1485" customFormat="1" ht="14.25" thickBot="1">
      <c r="A39" s="3816"/>
      <c r="B39" s="3813"/>
      <c r="C39" s="3433" t="s">
        <v>2942</v>
      </c>
      <c r="D39" s="3434"/>
      <c r="E39" s="3435">
        <v>0.6</v>
      </c>
      <c r="F39" s="3429" t="s">
        <v>2943</v>
      </c>
      <c r="G39" s="1080"/>
      <c r="H39" s="1070"/>
      <c r="I39" s="1070"/>
    </row>
    <row r="40" spans="1:9" s="1485" customFormat="1" ht="14.25" thickBot="1">
      <c r="A40" s="3436" t="s">
        <v>2894</v>
      </c>
      <c r="B40" s="3437" t="s">
        <v>2894</v>
      </c>
      <c r="C40" s="3438" t="s">
        <v>2944</v>
      </c>
      <c r="D40" s="3439"/>
      <c r="E40" s="3440">
        <v>1</v>
      </c>
      <c r="F40" s="3429" t="s">
        <v>2945</v>
      </c>
      <c r="G40" s="1080"/>
      <c r="H40" s="1070"/>
      <c r="I40" s="1070"/>
    </row>
    <row r="41" spans="1:9" s="1485" customFormat="1">
      <c r="A41" s="3808" t="s">
        <v>2895</v>
      </c>
      <c r="B41" s="3811" t="s">
        <v>2946</v>
      </c>
      <c r="C41" s="3426" t="s">
        <v>2947</v>
      </c>
      <c r="D41" s="3427"/>
      <c r="E41" s="3428">
        <v>1</v>
      </c>
      <c r="F41" s="3429" t="s">
        <v>2948</v>
      </c>
      <c r="G41" s="1080"/>
      <c r="H41" s="1070"/>
      <c r="I41" s="1070"/>
    </row>
    <row r="42" spans="1:9" s="1485" customFormat="1">
      <c r="A42" s="3809"/>
      <c r="B42" s="3812"/>
      <c r="C42" s="3430" t="s">
        <v>2949</v>
      </c>
      <c r="D42" s="3431"/>
      <c r="E42" s="3432">
        <v>1</v>
      </c>
      <c r="F42" s="3429" t="s">
        <v>2950</v>
      </c>
      <c r="G42" s="1080"/>
      <c r="H42" s="1070"/>
      <c r="I42" s="1070"/>
    </row>
    <row r="43" spans="1:9" s="1485" customFormat="1">
      <c r="A43" s="3809"/>
      <c r="B43" s="3818"/>
      <c r="C43" s="3430" t="s">
        <v>2951</v>
      </c>
      <c r="D43" s="3431"/>
      <c r="E43" s="3432">
        <v>1.5</v>
      </c>
      <c r="F43" s="3429" t="s">
        <v>2952</v>
      </c>
      <c r="G43" s="1080"/>
      <c r="H43" s="1070"/>
      <c r="I43" s="1070"/>
    </row>
    <row r="44" spans="1:9" s="1485" customFormat="1">
      <c r="A44" s="3809"/>
      <c r="B44" s="3441" t="s">
        <v>2897</v>
      </c>
      <c r="C44" s="3430" t="s">
        <v>2896</v>
      </c>
      <c r="D44" s="3431"/>
      <c r="E44" s="3432">
        <v>2</v>
      </c>
      <c r="F44" s="3429" t="s">
        <v>2953</v>
      </c>
      <c r="G44" s="1080"/>
      <c r="H44" s="1070"/>
      <c r="I44" s="1070"/>
    </row>
    <row r="45" spans="1:9" s="1485" customFormat="1">
      <c r="A45" s="3809"/>
      <c r="B45" s="3817" t="s">
        <v>2954</v>
      </c>
      <c r="C45" s="3430" t="s">
        <v>2955</v>
      </c>
      <c r="D45" s="3431"/>
      <c r="E45" s="3432">
        <v>1</v>
      </c>
      <c r="F45" s="3429" t="s">
        <v>2956</v>
      </c>
      <c r="G45" s="1080"/>
      <c r="H45" s="1070"/>
      <c r="I45" s="1070"/>
    </row>
    <row r="46" spans="1:9" s="1485" customFormat="1">
      <c r="A46" s="3809"/>
      <c r="B46" s="3812"/>
      <c r="C46" s="3430" t="s">
        <v>2957</v>
      </c>
      <c r="D46" s="3431"/>
      <c r="E46" s="3432">
        <v>1</v>
      </c>
      <c r="F46" s="3429" t="s">
        <v>2958</v>
      </c>
      <c r="G46" s="1080"/>
      <c r="H46" s="1070"/>
      <c r="I46" s="1070"/>
    </row>
    <row r="47" spans="1:9" s="1485" customFormat="1">
      <c r="A47" s="3809"/>
      <c r="B47" s="3812"/>
      <c r="C47" s="3430" t="s">
        <v>2959</v>
      </c>
      <c r="D47" s="3431"/>
      <c r="E47" s="3432">
        <v>1</v>
      </c>
      <c r="F47" s="3429" t="s">
        <v>2960</v>
      </c>
      <c r="G47" s="1080"/>
      <c r="H47" s="1070"/>
      <c r="I47" s="1070"/>
    </row>
    <row r="48" spans="1:9" s="1485" customFormat="1">
      <c r="A48" s="3809"/>
      <c r="B48" s="3812"/>
      <c r="C48" s="3430" t="s">
        <v>2961</v>
      </c>
      <c r="D48" s="3431"/>
      <c r="E48" s="3432">
        <v>1</v>
      </c>
      <c r="F48" s="3429" t="s">
        <v>2962</v>
      </c>
      <c r="G48" s="1080"/>
      <c r="H48" s="1070"/>
      <c r="I48" s="1070"/>
    </row>
    <row r="49" spans="1:9" s="1485" customFormat="1">
      <c r="A49" s="3809"/>
      <c r="B49" s="3812"/>
      <c r="C49" s="3430" t="s">
        <v>2963</v>
      </c>
      <c r="D49" s="3431"/>
      <c r="E49" s="3432">
        <v>1</v>
      </c>
      <c r="F49" s="3429" t="s">
        <v>2964</v>
      </c>
      <c r="G49" s="1080"/>
      <c r="H49" s="1070"/>
      <c r="I49" s="1070"/>
    </row>
    <row r="50" spans="1:9" s="1485" customFormat="1">
      <c r="A50" s="3809"/>
      <c r="B50" s="3812"/>
      <c r="C50" s="3430" t="s">
        <v>2965</v>
      </c>
      <c r="D50" s="3431"/>
      <c r="E50" s="3432">
        <v>1</v>
      </c>
      <c r="F50" s="3429" t="s">
        <v>2966</v>
      </c>
      <c r="G50" s="1080"/>
      <c r="H50" s="1070"/>
      <c r="I50" s="1070"/>
    </row>
    <row r="51" spans="1:9" s="1485" customFormat="1" ht="14.25" thickBot="1">
      <c r="A51" s="3810"/>
      <c r="B51" s="3813"/>
      <c r="C51" s="3433" t="s">
        <v>2967</v>
      </c>
      <c r="D51" s="3434"/>
      <c r="E51" s="3435">
        <v>1</v>
      </c>
      <c r="F51" s="3429" t="s">
        <v>2968</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2969</v>
      </c>
      <c r="D72" s="1100"/>
      <c r="E72" s="1085" t="s">
        <v>1420</v>
      </c>
      <c r="F72" s="1100" t="s">
        <v>1420</v>
      </c>
    </row>
    <row r="73" spans="1:8" s="1070" customFormat="1">
      <c r="A73" s="3441">
        <v>1</v>
      </c>
      <c r="B73" s="3817" t="s">
        <v>2970</v>
      </c>
      <c r="C73" s="3419" t="s">
        <v>2971</v>
      </c>
      <c r="D73" s="3419" t="s">
        <v>2972</v>
      </c>
      <c r="E73" s="3442">
        <v>0.2</v>
      </c>
      <c r="F73" s="3441">
        <v>25</v>
      </c>
      <c r="H73" s="1070">
        <f>SUMIF(C71:C139,基准地价!C8,E71:E139)</f>
        <v>0</v>
      </c>
    </row>
    <row r="74" spans="1:8" s="1070" customFormat="1" ht="24">
      <c r="A74" s="3441">
        <v>2</v>
      </c>
      <c r="B74" s="3812"/>
      <c r="C74" s="3419" t="s">
        <v>2973</v>
      </c>
      <c r="D74" s="3419" t="s">
        <v>2974</v>
      </c>
      <c r="E74" s="3442">
        <v>0.2</v>
      </c>
      <c r="F74" s="3441">
        <v>25</v>
      </c>
    </row>
    <row r="75" spans="1:8" s="1070" customFormat="1" ht="24">
      <c r="A75" s="3441">
        <v>3</v>
      </c>
      <c r="B75" s="3812"/>
      <c r="C75" s="3419" t="s">
        <v>2975</v>
      </c>
      <c r="D75" s="3419" t="s">
        <v>2976</v>
      </c>
      <c r="E75" s="3442">
        <v>0.2</v>
      </c>
      <c r="F75" s="3441">
        <v>25</v>
      </c>
    </row>
    <row r="76" spans="1:8" s="1070" customFormat="1">
      <c r="A76" s="3441">
        <v>4</v>
      </c>
      <c r="B76" s="3812"/>
      <c r="C76" s="3419" t="s">
        <v>2977</v>
      </c>
      <c r="D76" s="3419" t="s">
        <v>2978</v>
      </c>
      <c r="E76" s="3442">
        <v>0.15</v>
      </c>
      <c r="F76" s="3441">
        <v>20</v>
      </c>
    </row>
    <row r="77" spans="1:8" s="1070" customFormat="1" ht="24">
      <c r="A77" s="3441">
        <v>5</v>
      </c>
      <c r="B77" s="3812"/>
      <c r="C77" s="3419" t="s">
        <v>2979</v>
      </c>
      <c r="D77" s="3419" t="s">
        <v>2980</v>
      </c>
      <c r="E77" s="3442">
        <v>0.15</v>
      </c>
      <c r="F77" s="3441">
        <v>20</v>
      </c>
    </row>
    <row r="78" spans="1:8" s="1070" customFormat="1" ht="24">
      <c r="A78" s="3441">
        <v>6</v>
      </c>
      <c r="B78" s="3812"/>
      <c r="C78" s="3419" t="s">
        <v>2981</v>
      </c>
      <c r="D78" s="3419" t="s">
        <v>2982</v>
      </c>
      <c r="E78" s="3442">
        <v>0.15</v>
      </c>
      <c r="F78" s="3441">
        <v>20</v>
      </c>
    </row>
    <row r="79" spans="1:8" s="1070" customFormat="1" ht="24">
      <c r="A79" s="3441">
        <v>7</v>
      </c>
      <c r="B79" s="3812"/>
      <c r="C79" s="3419" t="s">
        <v>2983</v>
      </c>
      <c r="D79" s="3419" t="s">
        <v>2984</v>
      </c>
      <c r="E79" s="3442">
        <v>0.15</v>
      </c>
      <c r="F79" s="3441">
        <v>20</v>
      </c>
    </row>
    <row r="80" spans="1:8" s="1070" customFormat="1" ht="24">
      <c r="A80" s="3441">
        <v>8</v>
      </c>
      <c r="B80" s="3812"/>
      <c r="C80" s="3419" t="s">
        <v>2985</v>
      </c>
      <c r="D80" s="3419" t="s">
        <v>2986</v>
      </c>
      <c r="E80" s="3442">
        <v>0.1</v>
      </c>
      <c r="F80" s="3441">
        <v>15</v>
      </c>
    </row>
    <row r="81" spans="1:6" s="1070" customFormat="1" ht="24">
      <c r="A81" s="3441">
        <v>9</v>
      </c>
      <c r="B81" s="3812"/>
      <c r="C81" s="3419" t="s">
        <v>2987</v>
      </c>
      <c r="D81" s="3419" t="s">
        <v>2988</v>
      </c>
      <c r="E81" s="3442">
        <v>0.1</v>
      </c>
      <c r="F81" s="3441">
        <v>15</v>
      </c>
    </row>
    <row r="82" spans="1:6" s="1070" customFormat="1" ht="24">
      <c r="A82" s="3441">
        <v>10</v>
      </c>
      <c r="B82" s="3812"/>
      <c r="C82" s="3419" t="s">
        <v>2989</v>
      </c>
      <c r="D82" s="3419" t="s">
        <v>2990</v>
      </c>
      <c r="E82" s="3442">
        <v>0.1</v>
      </c>
      <c r="F82" s="3441">
        <v>15</v>
      </c>
    </row>
    <row r="83" spans="1:6" s="1070" customFormat="1" ht="24">
      <c r="A83" s="3441">
        <v>11</v>
      </c>
      <c r="B83" s="3812"/>
      <c r="C83" s="3419" t="s">
        <v>2991</v>
      </c>
      <c r="D83" s="3419" t="s">
        <v>2992</v>
      </c>
      <c r="E83" s="3442">
        <v>0.1</v>
      </c>
      <c r="F83" s="3441">
        <v>15</v>
      </c>
    </row>
    <row r="84" spans="1:6" s="1070" customFormat="1" ht="24">
      <c r="A84" s="3441">
        <v>12</v>
      </c>
      <c r="B84" s="3812"/>
      <c r="C84" s="3419" t="s">
        <v>2993</v>
      </c>
      <c r="D84" s="3419" t="s">
        <v>2994</v>
      </c>
      <c r="E84" s="3442">
        <v>0.1</v>
      </c>
      <c r="F84" s="3441">
        <v>15</v>
      </c>
    </row>
    <row r="85" spans="1:6" s="1070" customFormat="1">
      <c r="A85" s="3441">
        <v>13</v>
      </c>
      <c r="B85" s="3812"/>
      <c r="C85" s="3419" t="s">
        <v>2995</v>
      </c>
      <c r="D85" s="3419" t="s">
        <v>2996</v>
      </c>
      <c r="E85" s="3442">
        <v>0.1</v>
      </c>
      <c r="F85" s="3441">
        <v>15</v>
      </c>
    </row>
    <row r="86" spans="1:6" s="1070" customFormat="1">
      <c r="A86" s="3441">
        <v>14</v>
      </c>
      <c r="B86" s="3812"/>
      <c r="C86" s="3419" t="s">
        <v>2997</v>
      </c>
      <c r="D86" s="3419" t="s">
        <v>2998</v>
      </c>
      <c r="E86" s="3442">
        <v>0.1</v>
      </c>
      <c r="F86" s="3441">
        <v>15</v>
      </c>
    </row>
    <row r="87" spans="1:6" s="1070" customFormat="1">
      <c r="A87" s="3441">
        <v>15</v>
      </c>
      <c r="B87" s="3812"/>
      <c r="C87" s="3419" t="s">
        <v>2999</v>
      </c>
      <c r="D87" s="3419" t="s">
        <v>3000</v>
      </c>
      <c r="E87" s="3442">
        <v>0.1</v>
      </c>
      <c r="F87" s="3441">
        <v>15</v>
      </c>
    </row>
    <row r="88" spans="1:6" s="1070" customFormat="1" ht="24">
      <c r="A88" s="3441">
        <v>16</v>
      </c>
      <c r="B88" s="3812"/>
      <c r="C88" s="3419" t="s">
        <v>3001</v>
      </c>
      <c r="D88" s="3419" t="s">
        <v>3002</v>
      </c>
      <c r="E88" s="3442">
        <v>0.1</v>
      </c>
      <c r="F88" s="3441">
        <v>15</v>
      </c>
    </row>
    <row r="89" spans="1:6" s="1070" customFormat="1" ht="24">
      <c r="A89" s="3441">
        <v>17</v>
      </c>
      <c r="B89" s="3818"/>
      <c r="C89" s="3419" t="s">
        <v>3003</v>
      </c>
      <c r="D89" s="3419" t="s">
        <v>3004</v>
      </c>
      <c r="E89" s="3442">
        <v>0.1</v>
      </c>
      <c r="F89" s="3441">
        <v>15</v>
      </c>
    </row>
    <row r="90" spans="1:6" s="1070" customFormat="1">
      <c r="A90" s="3441">
        <v>18</v>
      </c>
      <c r="B90" s="3817" t="s">
        <v>3005</v>
      </c>
      <c r="C90" s="3419" t="s">
        <v>3006</v>
      </c>
      <c r="D90" s="3419" t="s">
        <v>3007</v>
      </c>
      <c r="E90" s="3442">
        <v>0.2</v>
      </c>
      <c r="F90" s="3441">
        <v>25</v>
      </c>
    </row>
    <row r="91" spans="1:6" s="1070" customFormat="1" ht="24">
      <c r="A91" s="3441">
        <v>19</v>
      </c>
      <c r="B91" s="3812"/>
      <c r="C91" s="3419" t="s">
        <v>3008</v>
      </c>
      <c r="D91" s="3419" t="s">
        <v>3009</v>
      </c>
      <c r="E91" s="3442">
        <v>0.2</v>
      </c>
      <c r="F91" s="3441">
        <v>25</v>
      </c>
    </row>
    <row r="92" spans="1:6" s="1070" customFormat="1">
      <c r="A92" s="3441">
        <v>20</v>
      </c>
      <c r="B92" s="3812"/>
      <c r="C92" s="3419" t="s">
        <v>3010</v>
      </c>
      <c r="D92" s="3419" t="s">
        <v>3011</v>
      </c>
      <c r="E92" s="3442">
        <v>0.15</v>
      </c>
      <c r="F92" s="3441">
        <v>20</v>
      </c>
    </row>
    <row r="93" spans="1:6" s="1070" customFormat="1" ht="24">
      <c r="A93" s="3441">
        <v>21</v>
      </c>
      <c r="B93" s="3812"/>
      <c r="C93" s="3419" t="s">
        <v>3012</v>
      </c>
      <c r="D93" s="3419" t="s">
        <v>3013</v>
      </c>
      <c r="E93" s="3442">
        <v>0.15</v>
      </c>
      <c r="F93" s="3441">
        <v>20</v>
      </c>
    </row>
    <row r="94" spans="1:6" s="1070" customFormat="1" ht="24">
      <c r="A94" s="3441">
        <v>22</v>
      </c>
      <c r="B94" s="3812"/>
      <c r="C94" s="3419" t="s">
        <v>3014</v>
      </c>
      <c r="D94" s="3419" t="s">
        <v>3015</v>
      </c>
      <c r="E94" s="3442">
        <v>0.15</v>
      </c>
      <c r="F94" s="3441">
        <v>20</v>
      </c>
    </row>
    <row r="95" spans="1:6" s="1070" customFormat="1" ht="36">
      <c r="A95" s="3441">
        <v>23</v>
      </c>
      <c r="B95" s="3812"/>
      <c r="C95" s="3419" t="s">
        <v>3016</v>
      </c>
      <c r="D95" s="3419" t="s">
        <v>3017</v>
      </c>
      <c r="E95" s="3442">
        <v>0.15</v>
      </c>
      <c r="F95" s="3441">
        <v>20</v>
      </c>
    </row>
    <row r="96" spans="1:6" s="1070" customFormat="1">
      <c r="A96" s="3441">
        <v>24</v>
      </c>
      <c r="B96" s="3812"/>
      <c r="C96" s="3419" t="s">
        <v>3018</v>
      </c>
      <c r="D96" s="3419" t="s">
        <v>3019</v>
      </c>
      <c r="E96" s="3442">
        <v>0.1</v>
      </c>
      <c r="F96" s="3441">
        <v>15</v>
      </c>
    </row>
    <row r="97" spans="1:6" s="1070" customFormat="1" ht="24">
      <c r="A97" s="3441">
        <v>25</v>
      </c>
      <c r="B97" s="3812"/>
      <c r="C97" s="3419" t="s">
        <v>3020</v>
      </c>
      <c r="D97" s="3419" t="s">
        <v>3021</v>
      </c>
      <c r="E97" s="3442">
        <v>0.1</v>
      </c>
      <c r="F97" s="3441">
        <v>15</v>
      </c>
    </row>
    <row r="98" spans="1:6" s="1070" customFormat="1" ht="24">
      <c r="A98" s="3441">
        <v>26</v>
      </c>
      <c r="B98" s="3812"/>
      <c r="C98" s="3419" t="s">
        <v>3022</v>
      </c>
      <c r="D98" s="3419" t="s">
        <v>3023</v>
      </c>
      <c r="E98" s="3442">
        <v>0.1</v>
      </c>
      <c r="F98" s="3441">
        <v>15</v>
      </c>
    </row>
    <row r="99" spans="1:6" s="1070" customFormat="1" ht="24">
      <c r="A99" s="3441">
        <v>27</v>
      </c>
      <c r="B99" s="3812"/>
      <c r="C99" s="3419" t="s">
        <v>3024</v>
      </c>
      <c r="D99" s="3419" t="s">
        <v>3025</v>
      </c>
      <c r="E99" s="3442">
        <v>0.1</v>
      </c>
      <c r="F99" s="3441">
        <v>15</v>
      </c>
    </row>
    <row r="100" spans="1:6" s="1070" customFormat="1" ht="24">
      <c r="A100" s="3441">
        <v>28</v>
      </c>
      <c r="B100" s="3812"/>
      <c r="C100" s="3419" t="s">
        <v>3026</v>
      </c>
      <c r="D100" s="3419" t="s">
        <v>3027</v>
      </c>
      <c r="E100" s="3442">
        <v>0.1</v>
      </c>
      <c r="F100" s="3441">
        <v>15</v>
      </c>
    </row>
    <row r="101" spans="1:6" s="1070" customFormat="1" ht="24">
      <c r="A101" s="3441">
        <v>29</v>
      </c>
      <c r="B101" s="3812"/>
      <c r="C101" s="3419" t="s">
        <v>3028</v>
      </c>
      <c r="D101" s="3419" t="s">
        <v>3029</v>
      </c>
      <c r="E101" s="3442">
        <v>0.1</v>
      </c>
      <c r="F101" s="3441">
        <v>15</v>
      </c>
    </row>
    <row r="102" spans="1:6" s="1070" customFormat="1" ht="24">
      <c r="A102" s="3441">
        <v>30</v>
      </c>
      <c r="B102" s="3812"/>
      <c r="C102" s="3419" t="s">
        <v>3030</v>
      </c>
      <c r="D102" s="3419" t="s">
        <v>3031</v>
      </c>
      <c r="E102" s="3442">
        <v>0.1</v>
      </c>
      <c r="F102" s="3441">
        <v>15</v>
      </c>
    </row>
    <row r="103" spans="1:6" s="1070" customFormat="1" ht="24">
      <c r="A103" s="3441">
        <v>31</v>
      </c>
      <c r="B103" s="3812"/>
      <c r="C103" s="3419" t="s">
        <v>3032</v>
      </c>
      <c r="D103" s="3419" t="s">
        <v>3033</v>
      </c>
      <c r="E103" s="3442">
        <v>0.1</v>
      </c>
      <c r="F103" s="3441">
        <v>15</v>
      </c>
    </row>
    <row r="104" spans="1:6" s="1070" customFormat="1" ht="24">
      <c r="A104" s="3441">
        <v>32</v>
      </c>
      <c r="B104" s="3812"/>
      <c r="C104" s="3419" t="s">
        <v>3034</v>
      </c>
      <c r="D104" s="3419" t="s">
        <v>3035</v>
      </c>
      <c r="E104" s="3442">
        <v>0.1</v>
      </c>
      <c r="F104" s="3441">
        <v>15</v>
      </c>
    </row>
    <row r="105" spans="1:6" s="1070" customFormat="1" ht="24">
      <c r="A105" s="3441">
        <v>33</v>
      </c>
      <c r="B105" s="3812"/>
      <c r="C105" s="3419" t="s">
        <v>3036</v>
      </c>
      <c r="D105" s="3419" t="s">
        <v>3037</v>
      </c>
      <c r="E105" s="3442">
        <v>0.1</v>
      </c>
      <c r="F105" s="3441">
        <v>15</v>
      </c>
    </row>
    <row r="106" spans="1:6" s="1070" customFormat="1" ht="24">
      <c r="A106" s="3441">
        <v>34</v>
      </c>
      <c r="B106" s="3818"/>
      <c r="C106" s="3419" t="s">
        <v>3038</v>
      </c>
      <c r="D106" s="3419" t="s">
        <v>3039</v>
      </c>
      <c r="E106" s="3442">
        <v>0.1</v>
      </c>
      <c r="F106" s="3441">
        <v>15</v>
      </c>
    </row>
    <row r="107" spans="1:6" s="1070" customFormat="1" ht="24">
      <c r="A107" s="3441">
        <v>35</v>
      </c>
      <c r="B107" s="3817" t="s">
        <v>3040</v>
      </c>
      <c r="C107" s="3441" t="s">
        <v>3041</v>
      </c>
      <c r="D107" s="3419" t="s">
        <v>3042</v>
      </c>
      <c r="E107" s="3442">
        <v>0.15</v>
      </c>
      <c r="F107" s="3441">
        <v>20</v>
      </c>
    </row>
    <row r="108" spans="1:6" s="1070" customFormat="1" ht="24">
      <c r="A108" s="3441">
        <v>36</v>
      </c>
      <c r="B108" s="3812"/>
      <c r="C108" s="3441" t="s">
        <v>3043</v>
      </c>
      <c r="D108" s="3419" t="s">
        <v>3044</v>
      </c>
      <c r="E108" s="3442">
        <v>0.15</v>
      </c>
      <c r="F108" s="3441">
        <v>20</v>
      </c>
    </row>
    <row r="109" spans="1:6" s="1070" customFormat="1" ht="24">
      <c r="A109" s="3441">
        <v>37</v>
      </c>
      <c r="B109" s="3812"/>
      <c r="C109" s="3441" t="s">
        <v>3045</v>
      </c>
      <c r="D109" s="3419" t="s">
        <v>3046</v>
      </c>
      <c r="E109" s="3442">
        <v>0.15</v>
      </c>
      <c r="F109" s="3441">
        <v>20</v>
      </c>
    </row>
    <row r="110" spans="1:6" s="1070" customFormat="1">
      <c r="A110" s="3441">
        <v>38</v>
      </c>
      <c r="B110" s="3812"/>
      <c r="C110" s="3441" t="s">
        <v>3047</v>
      </c>
      <c r="D110" s="3419" t="s">
        <v>3048</v>
      </c>
      <c r="E110" s="3442">
        <v>0.1</v>
      </c>
      <c r="F110" s="3441">
        <v>15</v>
      </c>
    </row>
    <row r="111" spans="1:6" s="1070" customFormat="1" ht="24">
      <c r="A111" s="3441">
        <v>39</v>
      </c>
      <c r="B111" s="3812"/>
      <c r="C111" s="3441" t="s">
        <v>3049</v>
      </c>
      <c r="D111" s="3419" t="s">
        <v>3050</v>
      </c>
      <c r="E111" s="3442">
        <v>0.1</v>
      </c>
      <c r="F111" s="3441">
        <v>15</v>
      </c>
    </row>
    <row r="112" spans="1:6" s="1070" customFormat="1" ht="24">
      <c r="A112" s="3441">
        <v>40</v>
      </c>
      <c r="B112" s="3818"/>
      <c r="C112" s="3441" t="s">
        <v>3051</v>
      </c>
      <c r="D112" s="3419" t="s">
        <v>3052</v>
      </c>
      <c r="E112" s="3442">
        <v>0.1</v>
      </c>
      <c r="F112" s="3441">
        <v>15</v>
      </c>
    </row>
    <row r="113" spans="1:6" s="1070" customFormat="1" ht="24">
      <c r="A113" s="3441">
        <v>41</v>
      </c>
      <c r="B113" s="3819" t="s">
        <v>3053</v>
      </c>
      <c r="C113" s="3441" t="s">
        <v>3054</v>
      </c>
      <c r="D113" s="3419" t="s">
        <v>3055</v>
      </c>
      <c r="E113" s="3442">
        <v>0.1</v>
      </c>
      <c r="F113" s="3441">
        <v>15</v>
      </c>
    </row>
    <row r="114" spans="1:6" s="1070" customFormat="1">
      <c r="A114" s="3441">
        <v>42</v>
      </c>
      <c r="B114" s="3819"/>
      <c r="C114" s="3441" t="s">
        <v>3056</v>
      </c>
      <c r="D114" s="3419" t="s">
        <v>3057</v>
      </c>
      <c r="E114" s="3442">
        <v>0.1</v>
      </c>
      <c r="F114" s="3441">
        <v>15</v>
      </c>
    </row>
    <row r="115" spans="1:6" s="1070" customFormat="1" ht="24">
      <c r="A115" s="3441">
        <v>43</v>
      </c>
      <c r="B115" s="3819"/>
      <c r="C115" s="3441" t="s">
        <v>3058</v>
      </c>
      <c r="D115" s="3419" t="s">
        <v>3059</v>
      </c>
      <c r="E115" s="3442">
        <v>0.1</v>
      </c>
      <c r="F115" s="3441">
        <v>15</v>
      </c>
    </row>
    <row r="116" spans="1:6" s="1070" customFormat="1" ht="24">
      <c r="A116" s="3441">
        <v>44</v>
      </c>
      <c r="B116" s="3817" t="s">
        <v>3060</v>
      </c>
      <c r="C116" s="3441" t="s">
        <v>3061</v>
      </c>
      <c r="D116" s="3419" t="s">
        <v>3062</v>
      </c>
      <c r="E116" s="3442">
        <v>0.1</v>
      </c>
      <c r="F116" s="3441">
        <v>15</v>
      </c>
    </row>
    <row r="117" spans="1:6" s="1070" customFormat="1" ht="24">
      <c r="A117" s="3441">
        <v>45</v>
      </c>
      <c r="B117" s="3818"/>
      <c r="C117" s="3419" t="s">
        <v>3063</v>
      </c>
      <c r="D117" s="3419" t="s">
        <v>3064</v>
      </c>
      <c r="E117" s="3442">
        <v>0.1</v>
      </c>
      <c r="F117" s="3441">
        <v>15</v>
      </c>
    </row>
    <row r="118" spans="1:6" s="1070" customFormat="1" ht="24">
      <c r="A118" s="3441">
        <v>46</v>
      </c>
      <c r="B118" s="3817" t="s">
        <v>3065</v>
      </c>
      <c r="C118" s="3441" t="s">
        <v>3066</v>
      </c>
      <c r="D118" s="3419" t="s">
        <v>3067</v>
      </c>
      <c r="E118" s="3442">
        <v>0.1</v>
      </c>
      <c r="F118" s="3441">
        <v>15</v>
      </c>
    </row>
    <row r="119" spans="1:6" s="1070" customFormat="1" ht="24">
      <c r="A119" s="3441">
        <v>47</v>
      </c>
      <c r="B119" s="3818"/>
      <c r="C119" s="3441" t="s">
        <v>3068</v>
      </c>
      <c r="D119" s="3419" t="s">
        <v>3069</v>
      </c>
      <c r="E119" s="3442">
        <v>0.1</v>
      </c>
      <c r="F119" s="3441">
        <v>15</v>
      </c>
    </row>
    <row r="120" spans="1:6" s="1070" customFormat="1" ht="24">
      <c r="A120" s="3441">
        <v>48</v>
      </c>
      <c r="B120" s="3817" t="s">
        <v>3070</v>
      </c>
      <c r="C120" s="3441" t="s">
        <v>3071</v>
      </c>
      <c r="D120" s="3419" t="s">
        <v>3072</v>
      </c>
      <c r="E120" s="3442">
        <v>0.1</v>
      </c>
      <c r="F120" s="3441">
        <v>15</v>
      </c>
    </row>
    <row r="121" spans="1:6" s="1070" customFormat="1">
      <c r="A121" s="3441">
        <v>49</v>
      </c>
      <c r="B121" s="3818"/>
      <c r="C121" s="3441" t="s">
        <v>3073</v>
      </c>
      <c r="D121" s="3419" t="s">
        <v>3074</v>
      </c>
      <c r="E121" s="3442">
        <v>0.1</v>
      </c>
      <c r="F121" s="3441">
        <v>15</v>
      </c>
    </row>
    <row r="122" spans="1:6" s="1070" customFormat="1" ht="24">
      <c r="A122" s="3441">
        <v>50</v>
      </c>
      <c r="B122" s="3819" t="s">
        <v>3075</v>
      </c>
      <c r="C122" s="3441" t="s">
        <v>3076</v>
      </c>
      <c r="D122" s="3419" t="s">
        <v>3077</v>
      </c>
      <c r="E122" s="3442">
        <v>0.1</v>
      </c>
      <c r="F122" s="3441">
        <v>15</v>
      </c>
    </row>
    <row r="123" spans="1:6" s="1070" customFormat="1" ht="24">
      <c r="A123" s="3441">
        <v>51</v>
      </c>
      <c r="B123" s="3819"/>
      <c r="C123" s="3441" t="s">
        <v>3078</v>
      </c>
      <c r="D123" s="3419" t="s">
        <v>3079</v>
      </c>
      <c r="E123" s="3442">
        <v>0.1</v>
      </c>
      <c r="F123" s="3441">
        <v>15</v>
      </c>
    </row>
    <row r="124" spans="1:6" s="1070" customFormat="1" ht="24">
      <c r="A124" s="3441">
        <v>52</v>
      </c>
      <c r="B124" s="3819" t="s">
        <v>3080</v>
      </c>
      <c r="C124" s="3441" t="s">
        <v>3081</v>
      </c>
      <c r="D124" s="3419" t="s">
        <v>3082</v>
      </c>
      <c r="E124" s="3442">
        <v>0.1</v>
      </c>
      <c r="F124" s="3441">
        <v>15</v>
      </c>
    </row>
    <row r="125" spans="1:6" s="1070" customFormat="1" ht="24">
      <c r="A125" s="3441">
        <v>53</v>
      </c>
      <c r="B125" s="3819"/>
      <c r="C125" s="3441" t="s">
        <v>3083</v>
      </c>
      <c r="D125" s="3419" t="s">
        <v>3084</v>
      </c>
      <c r="E125" s="3442">
        <v>0.1</v>
      </c>
      <c r="F125" s="3441">
        <v>15</v>
      </c>
    </row>
    <row r="126" spans="1:6" ht="24">
      <c r="A126" s="3441">
        <v>54</v>
      </c>
      <c r="B126" s="3441" t="s">
        <v>3085</v>
      </c>
      <c r="C126" s="3441" t="s">
        <v>3086</v>
      </c>
      <c r="D126" s="3419" t="s">
        <v>3087</v>
      </c>
      <c r="E126" s="3442">
        <v>0.1</v>
      </c>
      <c r="F126" s="3441">
        <v>15</v>
      </c>
    </row>
    <row r="127" spans="1:6">
      <c r="A127" s="3441">
        <v>55</v>
      </c>
      <c r="B127" s="3819" t="s">
        <v>3088</v>
      </c>
      <c r="C127" s="3441" t="s">
        <v>3089</v>
      </c>
      <c r="D127" s="3419" t="s">
        <v>3090</v>
      </c>
      <c r="E127" s="3442">
        <v>0.1</v>
      </c>
      <c r="F127" s="3441">
        <v>15</v>
      </c>
    </row>
    <row r="128" spans="1:6">
      <c r="A128" s="3441">
        <v>56</v>
      </c>
      <c r="B128" s="3819"/>
      <c r="C128" s="3441" t="s">
        <v>3091</v>
      </c>
      <c r="D128" s="3419" t="s">
        <v>3092</v>
      </c>
      <c r="E128" s="3442">
        <v>0.1</v>
      </c>
      <c r="F128" s="3441">
        <v>15</v>
      </c>
    </row>
    <row r="129" spans="1:14" ht="24">
      <c r="A129" s="3441">
        <v>57</v>
      </c>
      <c r="B129" s="3819"/>
      <c r="C129" s="3441" t="s">
        <v>3093</v>
      </c>
      <c r="D129" s="3419" t="s">
        <v>3094</v>
      </c>
      <c r="E129" s="3442">
        <v>0.1</v>
      </c>
      <c r="F129" s="3441">
        <v>15</v>
      </c>
    </row>
    <row r="130" spans="1:14" ht="24">
      <c r="A130" s="3441">
        <v>58</v>
      </c>
      <c r="B130" s="3819" t="s">
        <v>3095</v>
      </c>
      <c r="C130" s="3441" t="s">
        <v>3096</v>
      </c>
      <c r="D130" s="3419" t="s">
        <v>3097</v>
      </c>
      <c r="E130" s="3442">
        <v>0.1</v>
      </c>
      <c r="F130" s="3441">
        <v>15</v>
      </c>
    </row>
    <row r="131" spans="1:14" ht="24">
      <c r="A131" s="3441">
        <v>59</v>
      </c>
      <c r="B131" s="3819"/>
      <c r="C131" s="3441" t="s">
        <v>3098</v>
      </c>
      <c r="D131" s="3419" t="s">
        <v>3099</v>
      </c>
      <c r="E131" s="3442">
        <v>0.1</v>
      </c>
      <c r="F131" s="3441">
        <v>15</v>
      </c>
    </row>
    <row r="132" spans="1:14" ht="24">
      <c r="A132" s="3441">
        <v>60</v>
      </c>
      <c r="B132" s="3817" t="s">
        <v>3100</v>
      </c>
      <c r="C132" s="3441" t="s">
        <v>3101</v>
      </c>
      <c r="D132" s="3419" t="s">
        <v>3102</v>
      </c>
      <c r="E132" s="3442">
        <v>0.1</v>
      </c>
      <c r="F132" s="3441">
        <v>15</v>
      </c>
    </row>
    <row r="133" spans="1:14" ht="24">
      <c r="A133" s="3441">
        <v>61</v>
      </c>
      <c r="B133" s="3818"/>
      <c r="C133" s="3441" t="s">
        <v>3103</v>
      </c>
      <c r="D133" s="3419" t="s">
        <v>3104</v>
      </c>
      <c r="E133" s="3442">
        <v>0.1</v>
      </c>
      <c r="F133" s="3441">
        <v>15</v>
      </c>
    </row>
    <row r="134" spans="1:14" ht="24">
      <c r="A134" s="3441">
        <v>62</v>
      </c>
      <c r="B134" s="3441" t="s">
        <v>3105</v>
      </c>
      <c r="C134" s="3441" t="s">
        <v>3106</v>
      </c>
      <c r="D134" s="3419" t="s">
        <v>3107</v>
      </c>
      <c r="E134" s="3442">
        <v>0.1</v>
      </c>
      <c r="F134" s="3441">
        <v>15</v>
      </c>
    </row>
    <row r="135" spans="1:14" ht="24">
      <c r="A135" s="3441">
        <v>63</v>
      </c>
      <c r="B135" s="3819" t="s">
        <v>3108</v>
      </c>
      <c r="C135" s="3441" t="s">
        <v>3109</v>
      </c>
      <c r="D135" s="3419" t="s">
        <v>3110</v>
      </c>
      <c r="E135" s="3442">
        <v>0.1</v>
      </c>
      <c r="F135" s="3441">
        <v>15</v>
      </c>
    </row>
    <row r="136" spans="1:14">
      <c r="A136" s="3441">
        <v>64</v>
      </c>
      <c r="B136" s="3819"/>
      <c r="C136" s="3441" t="s">
        <v>3111</v>
      </c>
      <c r="D136" s="3419" t="s">
        <v>3112</v>
      </c>
      <c r="E136" s="3442">
        <v>0.1</v>
      </c>
      <c r="F136" s="3441">
        <v>15</v>
      </c>
    </row>
    <row r="137" spans="1:14" ht="24">
      <c r="A137" s="3441">
        <v>65</v>
      </c>
      <c r="B137" s="3441" t="s">
        <v>3113</v>
      </c>
      <c r="C137" s="3441" t="s">
        <v>3114</v>
      </c>
      <c r="D137" s="3419" t="s">
        <v>3115</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806" t="s">
        <v>1434</v>
      </c>
      <c r="B141" s="3806"/>
      <c r="C141" s="3806"/>
      <c r="D141" s="3806"/>
      <c r="E141" s="3806"/>
      <c r="F141" s="3806"/>
      <c r="G141" s="3806"/>
      <c r="H141" s="3806"/>
      <c r="I141" s="3806"/>
      <c r="J141" s="3806"/>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20" t="s">
        <v>1018</v>
      </c>
      <c r="B1" s="3820"/>
      <c r="C1" s="3820"/>
      <c r="D1" s="3820"/>
      <c r="E1" s="3820"/>
      <c r="F1" s="3820"/>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821" t="s">
        <v>1031</v>
      </c>
      <c r="B2" s="3821"/>
      <c r="C2" s="3821"/>
      <c r="D2" s="3821"/>
      <c r="E2" s="3821"/>
      <c r="F2" s="3821"/>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822"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823"/>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2208</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2209</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824" t="s">
        <v>1871</v>
      </c>
      <c r="B1" s="3824"/>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C26" sqref="C26"/>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832" t="s">
        <v>2292</v>
      </c>
      <c r="C1" s="3832"/>
      <c r="D1" s="3832"/>
      <c r="E1" s="3832"/>
      <c r="F1" s="3832"/>
      <c r="G1" s="3831" t="s">
        <v>2293</v>
      </c>
      <c r="H1" s="3831"/>
      <c r="I1" s="3831"/>
      <c r="J1" s="3831"/>
      <c r="K1" s="3831"/>
      <c r="L1" s="3831"/>
      <c r="N1" s="3831" t="s">
        <v>2294</v>
      </c>
      <c r="O1" s="3831"/>
      <c r="P1" s="3831"/>
      <c r="Q1" s="3831"/>
      <c r="S1" s="3831" t="s">
        <v>2295</v>
      </c>
      <c r="T1" s="3831"/>
      <c r="U1" s="3831"/>
      <c r="V1" s="3831"/>
      <c r="X1" s="3830" t="s">
        <v>2355</v>
      </c>
      <c r="Y1" s="3831"/>
      <c r="Z1" s="3831"/>
      <c r="AA1" s="3831"/>
      <c r="AB1" s="3831"/>
      <c r="AD1" s="3830" t="s">
        <v>2359</v>
      </c>
      <c r="AE1" s="3831"/>
      <c r="AF1" s="3831"/>
      <c r="AG1" s="3831"/>
      <c r="AH1" s="3831"/>
    </row>
    <row r="2" spans="1:34" s="2783" customFormat="1" ht="14.25" thickBot="1">
      <c r="B2" s="2784" t="s">
        <v>2296</v>
      </c>
      <c r="C2" s="2784" t="s">
        <v>2357</v>
      </c>
      <c r="D2" s="2785" t="s">
        <v>1444</v>
      </c>
      <c r="E2" s="2785" t="s">
        <v>1741</v>
      </c>
      <c r="F2" s="2784" t="s">
        <v>2358</v>
      </c>
      <c r="G2" s="2786"/>
      <c r="I2" s="2784" t="s">
        <v>2654</v>
      </c>
      <c r="J2" s="2785" t="s">
        <v>2656</v>
      </c>
      <c r="K2" s="2785" t="s">
        <v>2657</v>
      </c>
      <c r="L2" s="2784" t="s">
        <v>2658</v>
      </c>
      <c r="N2" s="2784" t="s">
        <v>2296</v>
      </c>
      <c r="O2" s="2785" t="s">
        <v>2655</v>
      </c>
      <c r="P2" s="2785" t="s">
        <v>1741</v>
      </c>
      <c r="Q2" s="2784" t="s">
        <v>2358</v>
      </c>
      <c r="S2" s="2784" t="s">
        <v>2296</v>
      </c>
      <c r="T2" s="2785" t="s">
        <v>2655</v>
      </c>
      <c r="U2" s="2785" t="s">
        <v>1741</v>
      </c>
      <c r="V2" s="2784" t="s">
        <v>2358</v>
      </c>
      <c r="X2" s="2784" t="s">
        <v>2296</v>
      </c>
      <c r="Y2" s="2784" t="s">
        <v>2357</v>
      </c>
      <c r="Z2" s="2785" t="s">
        <v>1444</v>
      </c>
      <c r="AA2" s="2785" t="s">
        <v>1741</v>
      </c>
      <c r="AB2" s="2784" t="s">
        <v>2358</v>
      </c>
      <c r="AD2" s="2784" t="s">
        <v>2296</v>
      </c>
      <c r="AE2" s="2784" t="s">
        <v>2357</v>
      </c>
      <c r="AF2" s="2785" t="s">
        <v>1444</v>
      </c>
      <c r="AG2" s="2785" t="s">
        <v>1741</v>
      </c>
      <c r="AH2" s="2784" t="s">
        <v>2358</v>
      </c>
    </row>
    <row r="3" spans="1:34" s="2793" customFormat="1" ht="14.25">
      <c r="A3" s="2787" t="s">
        <v>2665</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2889</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2888</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2887</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2886</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2885</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2734</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2733</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2732</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2731</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2729</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2728</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2692</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2690</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2688</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2687</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2684</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2683</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2681</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826">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2674</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826"/>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2675</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826"/>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2671</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827"/>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2664</v>
      </c>
      <c r="B26" s="2823">
        <v>439</v>
      </c>
      <c r="C26" s="2823">
        <v>327</v>
      </c>
      <c r="D26" s="2823">
        <f t="shared" si="219"/>
        <v>327</v>
      </c>
      <c r="E26" s="2823">
        <v>627</v>
      </c>
      <c r="F26" s="2824">
        <v>283</v>
      </c>
      <c r="G26" s="3825">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2666</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826"/>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2297</v>
      </c>
      <c r="B28" s="2807">
        <f t="shared" si="231"/>
        <v>419.31181600000002</v>
      </c>
      <c r="C28" s="2807">
        <f t="shared" si="231"/>
        <v>313.95436800000004</v>
      </c>
      <c r="D28" s="2807">
        <f t="shared" si="219"/>
        <v>313.95436800000004</v>
      </c>
      <c r="E28" s="2807">
        <f t="shared" si="232"/>
        <v>596.63028431999999</v>
      </c>
      <c r="F28" s="2807">
        <f t="shared" si="232"/>
        <v>274.74220703999998</v>
      </c>
      <c r="G28" s="3826"/>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2298</v>
      </c>
      <c r="B29" s="2807">
        <f t="shared" si="231"/>
        <v>405.524</v>
      </c>
      <c r="C29" s="2807">
        <f t="shared" si="231"/>
        <v>307.79840000000002</v>
      </c>
      <c r="D29" s="2807">
        <f t="shared" si="219"/>
        <v>307.79840000000002</v>
      </c>
      <c r="E29" s="2807">
        <f t="shared" si="232"/>
        <v>574.67759999999998</v>
      </c>
      <c r="F29" s="2807">
        <f t="shared" si="232"/>
        <v>270.20280000000002</v>
      </c>
      <c r="G29" s="3827"/>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825">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826"/>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826"/>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829"/>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828">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826"/>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826"/>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829"/>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828">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826"/>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826"/>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829"/>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2356</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2299</v>
      </c>
      <c r="B42" s="2828">
        <v>299</v>
      </c>
      <c r="C42" s="2828">
        <v>252</v>
      </c>
      <c r="D42" s="2828">
        <f t="shared" si="241"/>
        <v>252</v>
      </c>
      <c r="E42" s="2828">
        <v>409</v>
      </c>
      <c r="F42" s="2829">
        <v>227</v>
      </c>
      <c r="G42" s="3833">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2300</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834"/>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2301</v>
      </c>
      <c r="B44" s="2807">
        <f t="shared" si="250"/>
        <v>288.2649053828776</v>
      </c>
      <c r="C44" s="2807">
        <f t="shared" si="250"/>
        <v>243.64564425013293</v>
      </c>
      <c r="D44" s="2807">
        <f t="shared" si="241"/>
        <v>243.64564425013293</v>
      </c>
      <c r="E44" s="2807">
        <f t="shared" si="251"/>
        <v>393.31080825986544</v>
      </c>
      <c r="F44" s="2807">
        <f t="shared" si="251"/>
        <v>223.07903790551154</v>
      </c>
      <c r="G44" s="3834"/>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2302</v>
      </c>
      <c r="B45" s="2807">
        <f t="shared" si="250"/>
        <v>282.50186729015837</v>
      </c>
      <c r="C45" s="2807">
        <f t="shared" si="250"/>
        <v>238.09796174155468</v>
      </c>
      <c r="D45" s="2807">
        <f t="shared" si="241"/>
        <v>238.09796174155468</v>
      </c>
      <c r="E45" s="2807">
        <f t="shared" si="251"/>
        <v>385.33438646014054</v>
      </c>
      <c r="F45" s="2807">
        <f t="shared" si="251"/>
        <v>221.55034055567739</v>
      </c>
      <c r="G45" s="3835"/>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2303</v>
      </c>
      <c r="B46" s="2856">
        <v>278</v>
      </c>
      <c r="C46" s="2856">
        <v>234</v>
      </c>
      <c r="D46" s="2856">
        <f t="shared" si="241"/>
        <v>234</v>
      </c>
      <c r="E46" s="2856">
        <v>379</v>
      </c>
      <c r="F46" s="2857">
        <v>220</v>
      </c>
      <c r="G46" s="3828">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2304</v>
      </c>
      <c r="B47" s="2807">
        <f>B46/(1+N46)</f>
        <v>275.49301357645425</v>
      </c>
      <c r="C47" s="2807">
        <f>C46/(1+O46)</f>
        <v>232.41954707985698</v>
      </c>
      <c r="D47" s="2807">
        <f t="shared" si="241"/>
        <v>232.41954707985698</v>
      </c>
      <c r="E47" s="2807">
        <f t="shared" ref="E47:F49" si="252">E46/(1+P46)</f>
        <v>375.32184591008121</v>
      </c>
      <c r="F47" s="2807">
        <f t="shared" si="252"/>
        <v>218.03766105054513</v>
      </c>
      <c r="G47" s="3826"/>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2305</v>
      </c>
      <c r="B48" s="2807">
        <f>B47/(1+N47)</f>
        <v>275.24529281292263</v>
      </c>
      <c r="C48" s="2807">
        <f>C47/(1+O47)</f>
        <v>231.74747938962707</v>
      </c>
      <c r="D48" s="2807">
        <f t="shared" si="241"/>
        <v>231.74747938962707</v>
      </c>
      <c r="E48" s="2807">
        <f t="shared" si="252"/>
        <v>375.35938184826603</v>
      </c>
      <c r="F48" s="2807">
        <f t="shared" si="252"/>
        <v>216.78033510692495</v>
      </c>
      <c r="G48" s="3826"/>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2306</v>
      </c>
      <c r="B49" s="2807">
        <f>B48/(1+N48)</f>
        <v>275.19025476197027</v>
      </c>
      <c r="C49" s="2858">
        <v>232</v>
      </c>
      <c r="D49" s="2858">
        <f t="shared" si="241"/>
        <v>232</v>
      </c>
      <c r="E49" s="2807">
        <f t="shared" si="252"/>
        <v>375.65990977608692</v>
      </c>
      <c r="F49" s="2807">
        <f t="shared" si="252"/>
        <v>214.12518283971252</v>
      </c>
      <c r="G49" s="3829"/>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2307</v>
      </c>
      <c r="B50" s="2828">
        <v>275</v>
      </c>
      <c r="C50" s="2828">
        <v>232</v>
      </c>
      <c r="D50" s="2828">
        <f t="shared" si="241"/>
        <v>232</v>
      </c>
      <c r="E50" s="2828">
        <v>376</v>
      </c>
      <c r="F50" s="2829">
        <v>213</v>
      </c>
      <c r="G50" s="3828">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2308</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826">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2309</v>
      </c>
      <c r="B52" s="2807">
        <f t="shared" si="253"/>
        <v>275.19335084830601</v>
      </c>
      <c r="C52" s="2807">
        <f t="shared" si="253"/>
        <v>230.18088050139744</v>
      </c>
      <c r="D52" s="2807">
        <f t="shared" si="241"/>
        <v>230.18088050139744</v>
      </c>
      <c r="E52" s="2807">
        <f t="shared" si="254"/>
        <v>377.58482925212331</v>
      </c>
      <c r="F52" s="2807">
        <f t="shared" si="254"/>
        <v>210.90687997847917</v>
      </c>
      <c r="G52" s="3826">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2310</v>
      </c>
      <c r="B53" s="2807">
        <f t="shared" si="253"/>
        <v>276.29854502841971</v>
      </c>
      <c r="C53" s="2807">
        <f t="shared" si="253"/>
        <v>229.79023709833027</v>
      </c>
      <c r="D53" s="2807">
        <f t="shared" si="241"/>
        <v>229.79023709833027</v>
      </c>
      <c r="E53" s="2807">
        <f t="shared" si="254"/>
        <v>379.78759731655936</v>
      </c>
      <c r="F53" s="2807">
        <f t="shared" si="254"/>
        <v>211.32953905659235</v>
      </c>
      <c r="G53" s="3829">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2311</v>
      </c>
      <c r="B54" s="2828">
        <v>269</v>
      </c>
      <c r="C54" s="2828">
        <v>221</v>
      </c>
      <c r="D54" s="2828">
        <f t="shared" si="241"/>
        <v>221</v>
      </c>
      <c r="E54" s="2828">
        <v>373</v>
      </c>
      <c r="F54" s="2829">
        <v>196</v>
      </c>
      <c r="G54" s="3828">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2312</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826">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2313</v>
      </c>
      <c r="B56" s="2807">
        <f t="shared" si="255"/>
        <v>242.95398227588385</v>
      </c>
      <c r="C56" s="2807">
        <f t="shared" si="255"/>
        <v>199.59137053614126</v>
      </c>
      <c r="D56" s="2807">
        <f t="shared" si="241"/>
        <v>199.59137053614126</v>
      </c>
      <c r="E56" s="2807">
        <f t="shared" si="256"/>
        <v>335.92189522342125</v>
      </c>
      <c r="F56" s="2807">
        <f t="shared" si="256"/>
        <v>183.10139991109489</v>
      </c>
      <c r="G56" s="3826">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2314</v>
      </c>
      <c r="B57" s="2807">
        <f t="shared" si="255"/>
        <v>232.06990378821649</v>
      </c>
      <c r="C57" s="2807">
        <f t="shared" si="255"/>
        <v>192.74878854286936</v>
      </c>
      <c r="D57" s="2807">
        <f t="shared" si="241"/>
        <v>192.74878854286936</v>
      </c>
      <c r="E57" s="2807">
        <f t="shared" si="256"/>
        <v>319.71247284992984</v>
      </c>
      <c r="F57" s="2807">
        <f t="shared" si="256"/>
        <v>175.67053622862409</v>
      </c>
      <c r="G57" s="3829">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2315</v>
      </c>
      <c r="B58" s="2828">
        <v>220</v>
      </c>
      <c r="C58" s="2828">
        <v>187</v>
      </c>
      <c r="D58" s="2828">
        <f t="shared" si="241"/>
        <v>187</v>
      </c>
      <c r="E58" s="2828">
        <v>301</v>
      </c>
      <c r="F58" s="2829">
        <v>168</v>
      </c>
      <c r="G58" s="3828">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2316</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826">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2317</v>
      </c>
      <c r="B60" s="2807">
        <f t="shared" si="257"/>
        <v>210.630522469011</v>
      </c>
      <c r="C60" s="2807">
        <f t="shared" si="257"/>
        <v>181.69567812247232</v>
      </c>
      <c r="D60" s="2807">
        <f t="shared" si="241"/>
        <v>181.69567812247232</v>
      </c>
      <c r="E60" s="2807">
        <f t="shared" si="258"/>
        <v>286.13517466736738</v>
      </c>
      <c r="F60" s="2807">
        <f t="shared" si="258"/>
        <v>165.47535084591149</v>
      </c>
      <c r="G60" s="3826">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2318</v>
      </c>
      <c r="B61" s="2807">
        <f t="shared" si="257"/>
        <v>208.83454537875372</v>
      </c>
      <c r="C61" s="2807">
        <f t="shared" si="257"/>
        <v>183.77230517090351</v>
      </c>
      <c r="D61" s="2807">
        <f t="shared" si="241"/>
        <v>183.77230517090351</v>
      </c>
      <c r="E61" s="2807">
        <f t="shared" si="258"/>
        <v>281.10342338870947</v>
      </c>
      <c r="F61" s="2807">
        <f t="shared" si="258"/>
        <v>168.97309388942256</v>
      </c>
      <c r="G61" s="3829">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2319</v>
      </c>
      <c r="B62" s="2856">
        <v>214</v>
      </c>
      <c r="C62" s="2856">
        <v>188</v>
      </c>
      <c r="D62" s="2856">
        <f t="shared" si="241"/>
        <v>188</v>
      </c>
      <c r="E62" s="2856">
        <v>289</v>
      </c>
      <c r="F62" s="2857">
        <v>166</v>
      </c>
      <c r="G62" s="3828">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2320</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826">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2321</v>
      </c>
      <c r="B64" s="2807">
        <f t="shared" si="259"/>
        <v>206.31694671589116</v>
      </c>
      <c r="C64" s="2807">
        <f t="shared" si="259"/>
        <v>183.61041121036101</v>
      </c>
      <c r="D64" s="2807">
        <f t="shared" si="241"/>
        <v>183.61041121036101</v>
      </c>
      <c r="E64" s="2807">
        <f t="shared" si="260"/>
        <v>276.66850301795557</v>
      </c>
      <c r="F64" s="2807">
        <f t="shared" si="260"/>
        <v>165.1360938278614</v>
      </c>
      <c r="G64" s="3826">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2322</v>
      </c>
      <c r="B65" s="2859">
        <f t="shared" si="259"/>
        <v>196.62341248059772</v>
      </c>
      <c r="C65" s="2859">
        <f t="shared" si="259"/>
        <v>170.99125648199012</v>
      </c>
      <c r="D65" s="2859">
        <f t="shared" si="241"/>
        <v>170.99125648199012</v>
      </c>
      <c r="E65" s="2859">
        <f t="shared" si="260"/>
        <v>266.07857570490052</v>
      </c>
      <c r="F65" s="2859">
        <f t="shared" si="260"/>
        <v>154.53499328828505</v>
      </c>
      <c r="G65" s="3829">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2323</v>
      </c>
      <c r="B66" s="2828">
        <v>188</v>
      </c>
      <c r="C66" s="2828">
        <v>165</v>
      </c>
      <c r="D66" s="2828">
        <f t="shared" si="241"/>
        <v>165</v>
      </c>
      <c r="E66" s="2828">
        <v>254</v>
      </c>
      <c r="F66" s="2829">
        <v>148</v>
      </c>
      <c r="G66" s="3828">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2324</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826">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2325</v>
      </c>
      <c r="B68" s="2807">
        <f t="shared" si="263"/>
        <v>168.82017748715555</v>
      </c>
      <c r="C68" s="2807">
        <f t="shared" si="263"/>
        <v>148.06267029972753</v>
      </c>
      <c r="D68" s="2807">
        <f t="shared" si="241"/>
        <v>148.06267029972753</v>
      </c>
      <c r="E68" s="2807">
        <f t="shared" si="264"/>
        <v>216.46288379323747</v>
      </c>
      <c r="F68" s="2807">
        <f t="shared" si="264"/>
        <v>134.23529411764704</v>
      </c>
      <c r="G68" s="3826">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2326</v>
      </c>
      <c r="B69" s="2807">
        <f t="shared" si="263"/>
        <v>163.84913591779542</v>
      </c>
      <c r="C69" s="2807">
        <f t="shared" si="263"/>
        <v>145.0283378746594</v>
      </c>
      <c r="D69" s="2807">
        <f t="shared" si="241"/>
        <v>145.0283378746594</v>
      </c>
      <c r="E69" s="2807">
        <f t="shared" si="264"/>
        <v>204.95180722891567</v>
      </c>
      <c r="F69" s="2807">
        <f t="shared" si="264"/>
        <v>125.95920303605313</v>
      </c>
      <c r="G69" s="3829">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2327</v>
      </c>
      <c r="B70" s="2835">
        <v>159</v>
      </c>
      <c r="C70" s="2835">
        <v>141</v>
      </c>
      <c r="D70" s="2835">
        <f t="shared" si="241"/>
        <v>141</v>
      </c>
      <c r="E70" s="2835">
        <v>195</v>
      </c>
      <c r="F70" s="2836">
        <v>122</v>
      </c>
      <c r="G70" s="3828">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2328</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826">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2329</v>
      </c>
      <c r="B72" s="2807">
        <f t="shared" si="267"/>
        <v>146.57412060301507</v>
      </c>
      <c r="C72" s="2807">
        <f t="shared" si="267"/>
        <v>136.46831955922866</v>
      </c>
      <c r="D72" s="2807">
        <f t="shared" si="241"/>
        <v>136.46831955922866</v>
      </c>
      <c r="E72" s="2807">
        <f t="shared" si="268"/>
        <v>166.73864894795128</v>
      </c>
      <c r="F72" s="2807">
        <f t="shared" si="268"/>
        <v>115.05882352941177</v>
      </c>
      <c r="G72" s="3826">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2330</v>
      </c>
      <c r="B73" s="2807">
        <f t="shared" si="267"/>
        <v>144.04145728643215</v>
      </c>
      <c r="C73" s="2807">
        <f t="shared" si="267"/>
        <v>136.12396694214877</v>
      </c>
      <c r="D73" s="2807">
        <f t="shared" si="241"/>
        <v>136.12396694214877</v>
      </c>
      <c r="E73" s="2807">
        <f t="shared" si="268"/>
        <v>158.32225913621264</v>
      </c>
      <c r="F73" s="2807">
        <f t="shared" si="268"/>
        <v>114.04278074866311</v>
      </c>
      <c r="G73" s="3829">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2331</v>
      </c>
      <c r="B74" s="2835">
        <v>138</v>
      </c>
      <c r="C74" s="2835">
        <v>131</v>
      </c>
      <c r="D74" s="2835">
        <f t="shared" si="241"/>
        <v>131</v>
      </c>
      <c r="E74" s="2835">
        <v>155</v>
      </c>
      <c r="F74" s="2836">
        <v>114</v>
      </c>
      <c r="G74" s="3828">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2332</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826">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2333</v>
      </c>
      <c r="B76" s="2807">
        <f t="shared" si="271"/>
        <v>124.29032258064517</v>
      </c>
      <c r="C76" s="2807">
        <f t="shared" si="271"/>
        <v>123.8968609865471</v>
      </c>
      <c r="D76" s="2807">
        <f t="shared" si="241"/>
        <v>123.8968609865471</v>
      </c>
      <c r="E76" s="2807">
        <f t="shared" si="272"/>
        <v>138.00507614213197</v>
      </c>
      <c r="F76" s="2807">
        <f t="shared" si="272"/>
        <v>107.96106557377048</v>
      </c>
      <c r="G76" s="3826">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2334</v>
      </c>
      <c r="B77" s="2807">
        <f t="shared" si="271"/>
        <v>122.57204301075269</v>
      </c>
      <c r="C77" s="2807">
        <f t="shared" si="271"/>
        <v>123.4932735426009</v>
      </c>
      <c r="D77" s="2807">
        <f t="shared" si="241"/>
        <v>123.4932735426009</v>
      </c>
      <c r="E77" s="2807">
        <f t="shared" si="272"/>
        <v>129.82233502538071</v>
      </c>
      <c r="F77" s="2807">
        <f t="shared" si="272"/>
        <v>107.39446721311475</v>
      </c>
      <c r="G77" s="3829">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2335</v>
      </c>
      <c r="B78" s="2856">
        <v>121</v>
      </c>
      <c r="C78" s="2856">
        <v>122</v>
      </c>
      <c r="D78" s="2856">
        <f t="shared" si="241"/>
        <v>122</v>
      </c>
      <c r="E78" s="2856">
        <v>124</v>
      </c>
      <c r="F78" s="2857">
        <v>107</v>
      </c>
      <c r="G78" s="3828">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2336</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826">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2337</v>
      </c>
      <c r="B80" s="2807">
        <f t="shared" si="275"/>
        <v>116.99099099099099</v>
      </c>
      <c r="C80" s="2807">
        <f t="shared" si="275"/>
        <v>118.84848484848486</v>
      </c>
      <c r="D80" s="2807">
        <f t="shared" si="241"/>
        <v>118.84848484848486</v>
      </c>
      <c r="E80" s="2807">
        <f t="shared" si="276"/>
        <v>117.60960960960961</v>
      </c>
      <c r="F80" s="2807">
        <f t="shared" si="276"/>
        <v>104</v>
      </c>
      <c r="G80" s="3826">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2338</v>
      </c>
      <c r="B81" s="2859">
        <f t="shared" si="275"/>
        <v>112.48648648648648</v>
      </c>
      <c r="C81" s="2859">
        <f t="shared" si="275"/>
        <v>115.21212121212122</v>
      </c>
      <c r="D81" s="2859">
        <f t="shared" si="241"/>
        <v>115.21212121212122</v>
      </c>
      <c r="E81" s="2859">
        <f t="shared" si="276"/>
        <v>110.4024024024024</v>
      </c>
      <c r="F81" s="2859">
        <f t="shared" si="276"/>
        <v>104</v>
      </c>
      <c r="G81" s="3829">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2339</v>
      </c>
      <c r="B82" s="2876">
        <v>111</v>
      </c>
      <c r="C82" s="2876">
        <v>114</v>
      </c>
      <c r="D82" s="2876">
        <f t="shared" si="241"/>
        <v>114</v>
      </c>
      <c r="E82" s="2876">
        <v>108</v>
      </c>
      <c r="F82" s="2877">
        <v>104</v>
      </c>
      <c r="G82" s="3828">
        <v>2003</v>
      </c>
      <c r="H82" s="2866">
        <v>4</v>
      </c>
      <c r="I82" s="2878"/>
      <c r="J82" s="2878"/>
      <c r="K82" s="2878"/>
      <c r="L82" s="2878"/>
      <c r="N82" s="2879"/>
      <c r="O82" s="2878"/>
      <c r="P82" s="2878"/>
      <c r="Q82" s="2878"/>
      <c r="S82" s="2879"/>
      <c r="T82" s="2878"/>
      <c r="U82" s="2878"/>
      <c r="V82" s="2878"/>
      <c r="X82" s="2870"/>
      <c r="Y82" s="2870"/>
      <c r="Z82" s="2870"/>
    </row>
    <row r="83" spans="1:26">
      <c r="A83" s="2806" t="s">
        <v>2340</v>
      </c>
      <c r="B83" s="2880">
        <f t="shared" ref="B83:C85" si="277">B84+(B$82-B$86)/4</f>
        <v>109.75</v>
      </c>
      <c r="C83" s="2880">
        <f t="shared" si="277"/>
        <v>112.25</v>
      </c>
      <c r="D83" s="2880">
        <f t="shared" si="241"/>
        <v>112.25</v>
      </c>
      <c r="E83" s="2880">
        <f t="shared" ref="E83:F85" si="278">E84+(E$82-E$86)/4</f>
        <v>107.25</v>
      </c>
      <c r="F83" s="2880">
        <f t="shared" si="278"/>
        <v>103.5</v>
      </c>
      <c r="G83" s="3826">
        <v>2003</v>
      </c>
      <c r="H83" s="2833">
        <v>3</v>
      </c>
      <c r="I83" s="2878"/>
      <c r="J83" s="2878"/>
      <c r="K83" s="2878"/>
      <c r="L83" s="2878"/>
      <c r="X83" s="2870"/>
      <c r="Y83" s="2870"/>
      <c r="Z83" s="2870"/>
    </row>
    <row r="84" spans="1:26">
      <c r="A84" s="2806" t="s">
        <v>2341</v>
      </c>
      <c r="B84" s="2880">
        <f t="shared" si="277"/>
        <v>108.5</v>
      </c>
      <c r="C84" s="2880">
        <f t="shared" si="277"/>
        <v>110.5</v>
      </c>
      <c r="D84" s="2880">
        <f t="shared" si="241"/>
        <v>110.5</v>
      </c>
      <c r="E84" s="2880">
        <f t="shared" si="278"/>
        <v>106.5</v>
      </c>
      <c r="F84" s="2880">
        <f t="shared" si="278"/>
        <v>103</v>
      </c>
      <c r="G84" s="3826">
        <v>2003</v>
      </c>
      <c r="H84" s="2821">
        <v>2</v>
      </c>
      <c r="I84" s="2878"/>
      <c r="J84" s="2878"/>
      <c r="K84" s="2878"/>
      <c r="L84" s="2878"/>
      <c r="X84" s="2870"/>
      <c r="Y84" s="2870"/>
      <c r="Z84" s="2870"/>
    </row>
    <row r="85" spans="1:26" ht="13.5" thickBot="1">
      <c r="A85" s="2806" t="s">
        <v>2342</v>
      </c>
      <c r="B85" s="2880">
        <f t="shared" si="277"/>
        <v>107.25</v>
      </c>
      <c r="C85" s="2880">
        <f t="shared" si="277"/>
        <v>108.75</v>
      </c>
      <c r="D85" s="2880">
        <f t="shared" si="241"/>
        <v>108.75</v>
      </c>
      <c r="E85" s="2880">
        <f t="shared" si="278"/>
        <v>105.75</v>
      </c>
      <c r="F85" s="2880">
        <f t="shared" si="278"/>
        <v>102.5</v>
      </c>
      <c r="G85" s="3829">
        <v>2003</v>
      </c>
      <c r="H85" s="2881">
        <v>1</v>
      </c>
      <c r="I85" s="2878"/>
      <c r="J85" s="2878"/>
      <c r="K85" s="2878"/>
      <c r="L85" s="2878"/>
      <c r="S85" s="2809"/>
      <c r="T85" s="2805"/>
      <c r="U85" s="2805"/>
      <c r="X85" s="2870"/>
      <c r="Y85" s="2870"/>
      <c r="Z85" s="2870"/>
    </row>
    <row r="86" spans="1:26" ht="13.5" thickBot="1">
      <c r="A86" s="2806" t="s">
        <v>2343</v>
      </c>
      <c r="B86" s="2882">
        <v>106</v>
      </c>
      <c r="C86" s="2882">
        <v>107</v>
      </c>
      <c r="D86" s="2882">
        <f t="shared" si="241"/>
        <v>107</v>
      </c>
      <c r="E86" s="2882">
        <v>105</v>
      </c>
      <c r="F86" s="2883">
        <v>102</v>
      </c>
      <c r="G86" s="3828">
        <v>2002</v>
      </c>
      <c r="H86" s="2830">
        <v>4</v>
      </c>
      <c r="I86" s="2878"/>
      <c r="J86" s="2878"/>
      <c r="K86" s="2878"/>
      <c r="L86" s="2878"/>
      <c r="N86" s="2879"/>
      <c r="O86" s="2878"/>
      <c r="P86" s="2878"/>
      <c r="Q86" s="2878"/>
      <c r="S86" s="2879"/>
      <c r="T86" s="2878"/>
      <c r="U86" s="2878"/>
      <c r="V86" s="2878"/>
      <c r="X86" s="2870"/>
      <c r="Y86" s="2870"/>
      <c r="Z86" s="2870"/>
    </row>
    <row r="87" spans="1:26">
      <c r="A87" s="2806" t="s">
        <v>2344</v>
      </c>
      <c r="B87" s="2880">
        <f t="shared" ref="B87:C89" si="279">B88+(B$86-B$90)/4</f>
        <v>105</v>
      </c>
      <c r="C87" s="2880">
        <f t="shared" si="279"/>
        <v>106</v>
      </c>
      <c r="D87" s="2880">
        <f t="shared" si="241"/>
        <v>106</v>
      </c>
      <c r="E87" s="2880">
        <f t="shared" ref="E87:F89" si="280">E88+(E$86-E$90)/4</f>
        <v>104.5</v>
      </c>
      <c r="F87" s="2880">
        <f t="shared" si="280"/>
        <v>101.5</v>
      </c>
      <c r="G87" s="3826">
        <v>2002</v>
      </c>
      <c r="H87" s="2833">
        <v>3</v>
      </c>
      <c r="I87" s="2878"/>
      <c r="J87" s="2878"/>
      <c r="K87" s="2878"/>
      <c r="L87" s="2878"/>
      <c r="X87" s="2870"/>
      <c r="Y87" s="2870"/>
      <c r="Z87" s="2870"/>
    </row>
    <row r="88" spans="1:26">
      <c r="A88" s="2806" t="s">
        <v>2345</v>
      </c>
      <c r="B88" s="2880">
        <f t="shared" si="279"/>
        <v>104</v>
      </c>
      <c r="C88" s="2880">
        <f t="shared" si="279"/>
        <v>105</v>
      </c>
      <c r="D88" s="2880">
        <f t="shared" si="241"/>
        <v>105</v>
      </c>
      <c r="E88" s="2880">
        <f t="shared" si="280"/>
        <v>104</v>
      </c>
      <c r="F88" s="2880">
        <f t="shared" si="280"/>
        <v>101</v>
      </c>
      <c r="G88" s="3826">
        <v>2002</v>
      </c>
      <c r="H88" s="2821">
        <v>2</v>
      </c>
      <c r="I88" s="2878"/>
      <c r="J88" s="2878"/>
      <c r="K88" s="2878"/>
      <c r="L88" s="2878"/>
      <c r="X88" s="2870"/>
      <c r="Y88" s="2870"/>
      <c r="Z88" s="2870"/>
    </row>
    <row r="89" spans="1:26" s="2843" customFormat="1" ht="13.5" thickBot="1">
      <c r="A89" s="2839" t="s">
        <v>2346</v>
      </c>
      <c r="B89" s="2846">
        <f t="shared" si="279"/>
        <v>103</v>
      </c>
      <c r="C89" s="2846">
        <f t="shared" si="279"/>
        <v>104</v>
      </c>
      <c r="D89" s="2846">
        <f t="shared" si="241"/>
        <v>104</v>
      </c>
      <c r="E89" s="2846">
        <f t="shared" si="280"/>
        <v>103.5</v>
      </c>
      <c r="F89" s="2846">
        <f t="shared" si="280"/>
        <v>100.5</v>
      </c>
      <c r="G89" s="3829">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2347</v>
      </c>
      <c r="G92" s="2893"/>
      <c r="N92" s="2893"/>
      <c r="S92" s="2893"/>
    </row>
    <row r="93" spans="1:26" s="2892" customFormat="1">
      <c r="A93" s="2892" t="s">
        <v>2348</v>
      </c>
      <c r="G93" s="2893"/>
      <c r="N93" s="2893"/>
      <c r="S93" s="2893"/>
    </row>
    <row r="94" spans="1:26" s="2892" customFormat="1">
      <c r="A94" s="2892" t="s">
        <v>2349</v>
      </c>
      <c r="G94" s="2893"/>
      <c r="I94" s="2894"/>
      <c r="J94" s="2894"/>
      <c r="K94" s="2894"/>
      <c r="L94" s="2894"/>
      <c r="N94" s="2895"/>
      <c r="O94" s="2894"/>
      <c r="P94" s="2894"/>
      <c r="Q94" s="2894"/>
      <c r="S94" s="2895"/>
      <c r="T94" s="2894"/>
      <c r="U94" s="2894"/>
      <c r="V94" s="2894"/>
    </row>
    <row r="95" spans="1:26" s="2892" customFormat="1">
      <c r="A95" s="2892" t="s">
        <v>2350</v>
      </c>
      <c r="G95" s="2893"/>
      <c r="N95" s="2893"/>
      <c r="S95" s="2893"/>
    </row>
    <row r="102" spans="7:22" ht="13.5" thickBot="1"/>
    <row r="103" spans="7:22">
      <c r="G103" s="2804"/>
      <c r="S103" s="2896" t="s">
        <v>2351</v>
      </c>
      <c r="T103" s="2897" t="s">
        <v>2352</v>
      </c>
      <c r="U103" s="2897" t="s">
        <v>2353</v>
      </c>
      <c r="V103" s="2897" t="s">
        <v>2354</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64770.31平方米。根据《建设工程规划许可证》[]、《出让合同》[]，估价对象规划建筑面积为225000.81平方米。</v>
      </c>
    </row>
    <row r="7" spans="1:4" ht="56.25">
      <c r="A7" s="1665" t="s">
        <v>2463</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2022年7月5日（评估专业人员勘察现场之日）</v>
      </c>
    </row>
    <row r="12" spans="1:4" ht="18.75">
      <c r="A12" s="1667" t="s">
        <v>1817</v>
      </c>
    </row>
    <row r="13" spans="1:4" ht="18.75">
      <c r="A13" s="1661" t="s">
        <v>2641</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根据《国有土地使用证》[]，估价对象（分摊）出让国有建设用地使用权面积为64770.31平方米。根据《建设工程规划许可证》[]、《出让合同》[]，估价对象规划建筑面积为225000.81平方米。</v>
      </c>
    </row>
    <row r="21" spans="1:1" ht="18.75">
      <c r="A21" s="1661" t="s">
        <v>1866</v>
      </c>
    </row>
    <row r="22" spans="1:1" ht="11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2648</v>
      </c>
      <c r="B1" s="3154"/>
      <c r="C1" s="3154"/>
      <c r="D1" s="3154"/>
      <c r="E1" s="3154"/>
      <c r="F1" s="3154"/>
      <c r="G1" s="3155"/>
      <c r="H1" s="3155"/>
      <c r="I1" s="3155"/>
      <c r="J1" s="3155"/>
      <c r="K1" s="3155"/>
      <c r="L1" s="3155"/>
      <c r="M1" s="3155"/>
      <c r="N1" s="3155"/>
    </row>
    <row r="2" spans="1:14" ht="14.25">
      <c r="A2" s="3160" t="s">
        <v>2643</v>
      </c>
      <c r="B2" s="3165">
        <f ca="1">SUMIF(B7:B14,"&lt;&gt;#ref!",B7:B14)</f>
        <v>0</v>
      </c>
      <c r="C2" s="3160" t="s">
        <v>2644</v>
      </c>
      <c r="D2" s="3157"/>
      <c r="E2" s="3157"/>
      <c r="F2" s="3157"/>
      <c r="G2" s="3155"/>
      <c r="H2" s="3155"/>
      <c r="I2" s="3155"/>
      <c r="J2" s="3155"/>
      <c r="K2" s="3155"/>
      <c r="L2" s="3155"/>
      <c r="M2" s="3155"/>
      <c r="N2" s="3155"/>
    </row>
    <row r="3" spans="1:14" ht="14.25">
      <c r="A3" s="3160" t="s">
        <v>2672</v>
      </c>
      <c r="B3" s="3165" t="e">
        <f ca="1">ROUND(B2*10000/E3,0)</f>
        <v>#DIV/0!</v>
      </c>
      <c r="C3" s="3160" t="s">
        <v>1870</v>
      </c>
      <c r="D3" s="3160" t="s">
        <v>2645</v>
      </c>
      <c r="E3" s="3158">
        <f ca="1">SUMIF(E7:E14,"&lt;&gt;#ref!",E7:E14)</f>
        <v>0</v>
      </c>
      <c r="F3" s="3157"/>
      <c r="G3" s="3155"/>
      <c r="H3" s="3155"/>
      <c r="I3" s="3155"/>
      <c r="J3" s="3155"/>
      <c r="K3" s="3155"/>
      <c r="L3" s="3155"/>
      <c r="M3" s="3155"/>
      <c r="N3" s="3155"/>
    </row>
    <row r="4" spans="1:14" ht="14.25">
      <c r="A4" s="3160" t="s">
        <v>2651</v>
      </c>
      <c r="B4" s="3165" t="e">
        <f ca="1">ROUND(B2*10000/E4,0)</f>
        <v>#DIV/0!</v>
      </c>
      <c r="C4" s="3160" t="s">
        <v>1870</v>
      </c>
      <c r="D4" s="3160" t="s">
        <v>2652</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2649</v>
      </c>
      <c r="B6" s="3160" t="s">
        <v>2646</v>
      </c>
      <c r="C6" s="2708"/>
      <c r="D6" s="3157"/>
      <c r="E6" s="3160" t="s">
        <v>2647</v>
      </c>
      <c r="F6" s="3160" t="s">
        <v>2650</v>
      </c>
      <c r="G6" s="3155"/>
      <c r="H6" s="3155"/>
      <c r="I6" s="3155"/>
      <c r="J6" s="3155"/>
      <c r="K6" s="3155"/>
      <c r="L6" s="3155"/>
      <c r="M6" s="3155"/>
      <c r="N6" s="3155"/>
    </row>
    <row r="7" spans="1:14" ht="14.25">
      <c r="A7" s="3163"/>
      <c r="B7" s="3165" t="e">
        <f ca="1">SUMIF(INDIRECT("'"&amp;A7&amp;"'"&amp;"!A:A"),"总价",INDIRECT("'"&amp;A7&amp;"'"&amp;"!B:B"))</f>
        <v>#REF!</v>
      </c>
      <c r="C7" s="3160" t="s">
        <v>2644</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2644</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2644</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2644</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2644</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2644</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2644</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2644</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2160</v>
      </c>
      <c r="F1" s="2197">
        <f ca="1">J54</f>
        <v>-3</v>
      </c>
      <c r="G1" s="747">
        <f>MATCH(C1,'数据-取费表'!A6:A16,0)+5</f>
        <v>9</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2236</v>
      </c>
      <c r="C7" s="53">
        <f ca="1">C8+C12+C14</f>
        <v>0</v>
      </c>
      <c r="D7" s="2301" t="s">
        <v>2239</v>
      </c>
      <c r="E7" s="2295"/>
      <c r="F7" s="2296"/>
      <c r="G7" s="1482"/>
      <c r="H7" s="754">
        <v>1</v>
      </c>
      <c r="I7" s="755" t="s">
        <v>2236</v>
      </c>
      <c r="J7" s="53">
        <f ca="1">J8+J12+J14</f>
        <v>0</v>
      </c>
      <c r="K7" s="2301" t="s">
        <v>2239</v>
      </c>
      <c r="L7" s="2295"/>
      <c r="M7" s="2296"/>
    </row>
    <row r="8" spans="1:25" ht="18" customHeight="1">
      <c r="A8" s="1700" t="s">
        <v>1624</v>
      </c>
      <c r="B8" s="3837" t="s">
        <v>2241</v>
      </c>
      <c r="C8" s="1695">
        <f ca="1">ROUND(F8*F10*F9*(1-F11)/10000,0)</f>
        <v>0</v>
      </c>
      <c r="D8" s="1692" t="s">
        <v>2251</v>
      </c>
      <c r="E8" s="61" t="s">
        <v>619</v>
      </c>
      <c r="F8" s="758">
        <f ca="1">INDIRECT("'数据-取费表'!u"&amp;$G$1)</f>
        <v>0</v>
      </c>
      <c r="G8" s="1482"/>
      <c r="H8" s="2309" t="s">
        <v>1624</v>
      </c>
      <c r="I8" s="3837" t="s">
        <v>2241</v>
      </c>
      <c r="J8" s="756">
        <f ca="1">ROUND(M8*M10*M9*(1-M11)/10000,0)</f>
        <v>0</v>
      </c>
      <c r="K8" s="339" t="s">
        <v>2251</v>
      </c>
      <c r="L8" s="757" t="s">
        <v>1538</v>
      </c>
      <c r="M8" s="758">
        <f ca="1">INDIRECT("'数据-取费表'!z"&amp;$G$1)</f>
        <v>0</v>
      </c>
    </row>
    <row r="9" spans="1:25" ht="18" customHeight="1">
      <c r="A9" s="2305"/>
      <c r="B9" s="3838"/>
      <c r="C9" s="1696"/>
      <c r="D9" s="1693"/>
      <c r="E9" s="61" t="s">
        <v>620</v>
      </c>
      <c r="F9" s="758">
        <f ca="1">IF(INDIRECT("'数据-取费表'!ah"&amp;$G$1)="",INDIRECT("'数据-取费表'!k"&amp;$G$1),INDIRECT("'数据-取费表'!ah"&amp;$G$1))</f>
        <v>0</v>
      </c>
      <c r="G9" s="1482"/>
      <c r="H9" s="2294"/>
      <c r="I9" s="3838"/>
      <c r="J9" s="761"/>
      <c r="K9" s="762"/>
      <c r="L9" s="757" t="s">
        <v>1539</v>
      </c>
      <c r="M9" s="758">
        <f ca="1">F9</f>
        <v>0</v>
      </c>
    </row>
    <row r="10" spans="1:25" ht="18" customHeight="1">
      <c r="A10" s="2298"/>
      <c r="B10" s="3839"/>
      <c r="C10" s="1696"/>
      <c r="D10" s="1693"/>
      <c r="E10" s="61" t="s">
        <v>621</v>
      </c>
      <c r="F10" s="758">
        <f ca="1">INDIRECT("'数据-取费表'!ai"&amp;$G$1)</f>
        <v>0</v>
      </c>
      <c r="G10" s="1482"/>
      <c r="H10" s="2294"/>
      <c r="I10" s="3839"/>
      <c r="J10" s="761"/>
      <c r="K10" s="762"/>
      <c r="L10" s="757" t="s">
        <v>1540</v>
      </c>
      <c r="M10" s="758">
        <f ca="1">INDIRECT("'数据-取费表'!ai"&amp;$G$1)</f>
        <v>0</v>
      </c>
    </row>
    <row r="11" spans="1:25" ht="18" customHeight="1">
      <c r="A11" s="759"/>
      <c r="B11" s="3840"/>
      <c r="C11" s="1696"/>
      <c r="D11" s="1693"/>
      <c r="E11" s="61" t="s">
        <v>622</v>
      </c>
      <c r="F11" s="767">
        <f ca="1">INDIRECT("'数据-取费表'!w"&amp;$G$1)</f>
        <v>0</v>
      </c>
      <c r="G11" s="1482"/>
      <c r="H11" s="2310"/>
      <c r="I11" s="3839"/>
      <c r="J11" s="761"/>
      <c r="K11" s="762"/>
      <c r="L11" s="768" t="s">
        <v>1541</v>
      </c>
      <c r="M11" s="769">
        <f ca="1">INDIRECT("'数据-取费表'!ab"&amp;$G$1)</f>
        <v>0</v>
      </c>
    </row>
    <row r="12" spans="1:25" ht="18" customHeight="1">
      <c r="A12" s="1700" t="s">
        <v>1625</v>
      </c>
      <c r="B12" s="2299" t="s">
        <v>2237</v>
      </c>
      <c r="C12" s="772">
        <f ca="1">ROUND(IF(F12="押一",C8/12*F13,IF(F12="押二",C8/12*2*F13,IF(F12="押三",C8/12*3*F13,C13*F13))),0)</f>
        <v>0</v>
      </c>
      <c r="D12" s="2306" t="s">
        <v>2669</v>
      </c>
      <c r="E12" s="2303" t="s">
        <v>2242</v>
      </c>
      <c r="F12" s="2387"/>
      <c r="G12" s="1482"/>
      <c r="H12" s="2337" t="s">
        <v>1625</v>
      </c>
      <c r="I12" s="2342" t="s">
        <v>2237</v>
      </c>
      <c r="J12" s="756">
        <f ca="1">ROUND(IF(M12="押一",J8/12*M13,IF(M12="押二",J8/12*2*M13,IF(M12="押三",J8/12*3*M13,J13*M13))),0)</f>
        <v>0</v>
      </c>
      <c r="K12" s="2306" t="s">
        <v>2669</v>
      </c>
      <c r="L12" s="2303" t="s">
        <v>2242</v>
      </c>
      <c r="M12" s="2387"/>
    </row>
    <row r="13" spans="1:25" ht="18" customHeight="1">
      <c r="A13" s="763"/>
      <c r="B13" s="2300" t="s">
        <v>2290</v>
      </c>
      <c r="C13" s="2304"/>
      <c r="D13" s="762"/>
      <c r="E13" s="2303" t="s">
        <v>2235</v>
      </c>
      <c r="F13" s="769">
        <f ca="1">'数据-取费表'!B39</f>
        <v>1.4999999999999999E-2</v>
      </c>
      <c r="G13" s="1482"/>
      <c r="H13" s="2338"/>
      <c r="I13" s="2300" t="s">
        <v>2290</v>
      </c>
      <c r="J13" s="2304"/>
      <c r="K13" s="2339"/>
      <c r="L13" s="2303" t="s">
        <v>2235</v>
      </c>
      <c r="M13" s="2297">
        <f ca="1">'数据-取费表'!B39</f>
        <v>1.4999999999999999E-2</v>
      </c>
    </row>
    <row r="14" spans="1:25" ht="18" customHeight="1" thickBot="1">
      <c r="A14" s="2313" t="s">
        <v>2245</v>
      </c>
      <c r="B14" s="2314" t="s">
        <v>2238</v>
      </c>
      <c r="C14" s="2315"/>
      <c r="D14" s="2316"/>
      <c r="E14" s="2317"/>
      <c r="F14" s="2318"/>
      <c r="G14" s="1482"/>
      <c r="H14" s="2327" t="s">
        <v>2245</v>
      </c>
      <c r="I14" s="2340" t="s">
        <v>2238</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2"/>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2"/>
      <c r="H16" s="776" t="s">
        <v>1861</v>
      </c>
      <c r="I16" s="2065" t="s">
        <v>2540</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0.03</v>
      </c>
      <c r="G17" s="1483"/>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200</v>
      </c>
      <c r="G19" s="1483"/>
      <c r="H19" s="776" t="s">
        <v>1861</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5" t="s">
        <v>643</v>
      </c>
      <c r="L20" s="757" t="s">
        <v>631</v>
      </c>
      <c r="M20" s="782">
        <f>'数据-取费表'!B41</f>
        <v>5.6000000000000001E-2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2"/>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0.02</v>
      </c>
      <c r="G22" s="1483"/>
      <c r="H22" s="1702" t="s">
        <v>1650</v>
      </c>
      <c r="I22" s="1692" t="s">
        <v>650</v>
      </c>
      <c r="J22" s="54">
        <f ca="1">ROUND(M22*M23/10000,0)</f>
        <v>0</v>
      </c>
      <c r="K22" s="786" t="s">
        <v>651</v>
      </c>
      <c r="L22" s="757" t="s">
        <v>652</v>
      </c>
      <c r="M22" s="615">
        <f>'数据-取费表'!B52</f>
        <v>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2"/>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2218</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3</v>
      </c>
      <c r="G25" s="1483"/>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1.2999999999999999E-3</v>
      </c>
      <c r="D26" s="2345" t="str">
        <f>IF(F25&lt;=1,"销售费用×利率×(建设周期÷2)","销售费用×((1+利率)^(建设周期÷2)-1)")</f>
        <v>销售费用×((1+利率)^(建设周期÷2)-1)</v>
      </c>
      <c r="E26" s="757" t="s">
        <v>664</v>
      </c>
      <c r="F26" s="791">
        <f ca="1">'数据-取费表'!B40</f>
        <v>4.2000000000000003E-2</v>
      </c>
      <c r="G26" s="1483"/>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2"/>
      <c r="H27" s="770" t="s">
        <v>1628</v>
      </c>
      <c r="I27" s="2645" t="s">
        <v>2537</v>
      </c>
      <c r="J27" s="772">
        <f ca="1">J7-J18</f>
        <v>0</v>
      </c>
      <c r="K27" s="1847" t="s">
        <v>682</v>
      </c>
      <c r="L27" s="1849"/>
      <c r="M27" s="792"/>
    </row>
    <row r="28" spans="1:25" ht="18" customHeight="1">
      <c r="A28" s="776" t="s">
        <v>1671</v>
      </c>
      <c r="B28" s="757" t="s">
        <v>2219</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5.33E-2</v>
      </c>
      <c r="D30" s="784" t="s">
        <v>691</v>
      </c>
      <c r="E30" s="757" t="s">
        <v>631</v>
      </c>
      <c r="F30" s="782">
        <f>'数据-取费表'!B41</f>
        <v>5.6000000000000001E-2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2538</v>
      </c>
      <c r="C31" s="2320">
        <f ca="1">ROUND((C21+C22+C25+C28)/(1-F23-C26-C29-C30),0)</f>
        <v>0</v>
      </c>
      <c r="D31" s="2321"/>
      <c r="E31" s="2322"/>
      <c r="F31" s="2323"/>
      <c r="G31" s="1483"/>
      <c r="H31" s="795" t="s">
        <v>1668</v>
      </c>
      <c r="I31" s="2646" t="s">
        <v>2539</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2723</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5.6000000000000001E-2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5</v>
      </c>
      <c r="G36" s="1899"/>
      <c r="H36" s="1902"/>
      <c r="I36" s="3836"/>
      <c r="J36" s="1916"/>
      <c r="K36" s="1917"/>
      <c r="L36" s="1916"/>
      <c r="M36" s="1916"/>
    </row>
    <row r="37" spans="1:18" ht="18" customHeight="1">
      <c r="A37" s="787"/>
      <c r="B37" s="766"/>
      <c r="C37" s="69"/>
      <c r="D37" s="788"/>
      <c r="E37" s="757" t="s">
        <v>656</v>
      </c>
      <c r="F37" s="758">
        <f ca="1">INDIRECT("'数据-取费表'!r"&amp;$G$1)</f>
        <v>0</v>
      </c>
      <c r="G37" s="1899"/>
      <c r="H37" s="1902"/>
      <c r="I37" s="3836"/>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4" t="s">
        <v>694</v>
      </c>
      <c r="E43" s="2713" t="s">
        <v>2659</v>
      </c>
      <c r="F43" s="2714">
        <f ca="1">INDIRECT("'数据-取费表'!j"&amp;$G$1)</f>
        <v>0</v>
      </c>
      <c r="G43" s="1899"/>
      <c r="H43" s="1899"/>
      <c r="I43" s="1899"/>
      <c r="J43" s="1899"/>
      <c r="K43" s="1919"/>
      <c r="L43" s="1899"/>
      <c r="M43" s="1899"/>
    </row>
    <row r="44" spans="1:18" ht="18" customHeight="1">
      <c r="A44" s="776" t="s">
        <v>1674</v>
      </c>
      <c r="B44" s="807" t="s">
        <v>695</v>
      </c>
      <c r="C44" s="1265">
        <f ca="1">C42-C43</f>
        <v>0</v>
      </c>
      <c r="D44" s="456" t="s">
        <v>696</v>
      </c>
      <c r="E44" s="457"/>
      <c r="F44" s="458"/>
      <c r="G44" s="1899"/>
      <c r="H44" s="1899"/>
      <c r="I44" s="1899"/>
      <c r="J44" s="1899"/>
      <c r="K44" s="1919"/>
      <c r="L44" s="1899"/>
      <c r="M44" s="1899"/>
    </row>
    <row r="45" spans="1:18" ht="18" customHeight="1">
      <c r="A45" s="776" t="s">
        <v>1675</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2662</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2129</v>
      </c>
      <c r="J47" s="2188"/>
      <c r="K47" s="2189"/>
      <c r="L47" s="2729" t="str">
        <f ca="1">IF(M48="住宅",0,IF(L49&gt;J52,L61,J61))</f>
        <v>0</v>
      </c>
      <c r="O47" s="2203" t="s">
        <v>2196</v>
      </c>
      <c r="P47" s="1482"/>
      <c r="Q47" s="1490"/>
      <c r="R47" s="1482"/>
    </row>
    <row r="48" spans="1:18" s="1896" customFormat="1" ht="18" customHeight="1" thickBot="1">
      <c r="A48" s="1920"/>
      <c r="C48" s="1923"/>
      <c r="D48" s="1924"/>
      <c r="E48" s="1924"/>
      <c r="F48" s="1925"/>
      <c r="G48" s="1926"/>
      <c r="I48" s="2720" t="s">
        <v>2130</v>
      </c>
      <c r="J48" s="2190"/>
      <c r="K48" s="2726" t="s">
        <v>2135</v>
      </c>
      <c r="L48" s="2730">
        <f ca="1">INDIRECT("'数据-取费表'!d"&amp;$G$1)</f>
        <v>0</v>
      </c>
      <c r="M48" s="2712" t="str">
        <f>IF(ISNUMBER(FIND("住宅",C1)),"住宅","非住宅")</f>
        <v>非住宅</v>
      </c>
      <c r="O48" s="2204" t="s">
        <v>2161</v>
      </c>
      <c r="P48" s="2205" t="s">
        <v>2162</v>
      </c>
      <c r="Q48" s="2206" t="s">
        <v>2163</v>
      </c>
      <c r="R48" s="2205" t="s">
        <v>2164</v>
      </c>
    </row>
    <row r="49" spans="1:18" s="1896" customFormat="1" ht="18" customHeight="1" thickBot="1">
      <c r="A49" s="1920"/>
      <c r="D49" s="1927"/>
      <c r="E49" s="1928"/>
      <c r="F49" s="1925"/>
      <c r="G49" s="1926"/>
      <c r="H49" s="1929"/>
      <c r="I49" s="2717" t="s">
        <v>2131</v>
      </c>
      <c r="J49" s="2191"/>
      <c r="K49" s="2727" t="s">
        <v>2137</v>
      </c>
      <c r="L49" s="1777">
        <f ca="1">INDIRECT("'数据-取费表'!f"&amp;$G$1)</f>
        <v>0</v>
      </c>
      <c r="O49" s="2207" t="s">
        <v>2165</v>
      </c>
      <c r="P49" s="2208" t="s">
        <v>2191</v>
      </c>
      <c r="Q49" s="2209">
        <f ca="1">C41+J31</f>
        <v>0</v>
      </c>
      <c r="R49" s="2208" t="s">
        <v>2166</v>
      </c>
    </row>
    <row r="50" spans="1:18" s="1896" customFormat="1" ht="18" customHeight="1" thickBot="1">
      <c r="A50" s="1920"/>
      <c r="D50" s="1930"/>
      <c r="E50" s="1930"/>
      <c r="F50" s="1924"/>
      <c r="G50" s="1931"/>
      <c r="H50" s="1929"/>
      <c r="I50" s="2717" t="s">
        <v>2132</v>
      </c>
      <c r="J50" s="2192"/>
      <c r="K50" s="2728" t="s">
        <v>2138</v>
      </c>
      <c r="L50" s="2193"/>
      <c r="O50" s="2207" t="s">
        <v>2167</v>
      </c>
      <c r="P50" s="2208" t="s">
        <v>2192</v>
      </c>
      <c r="Q50" s="2209" t="str">
        <f ca="1">J61</f>
        <v>0</v>
      </c>
      <c r="R50" s="2208" t="s">
        <v>2168</v>
      </c>
    </row>
    <row r="51" spans="1:18" s="1896" customFormat="1" ht="18" customHeight="1" thickBot="1">
      <c r="A51" s="1932"/>
      <c r="D51" s="1930"/>
      <c r="E51" s="1930"/>
      <c r="F51" s="1921"/>
      <c r="H51" s="1929"/>
      <c r="I51" s="2717" t="s">
        <v>2133</v>
      </c>
      <c r="J51" s="2724">
        <f>SUMPRODUCT((I64:I66=J48)*(J63:L63=J49)*(J64:L66))</f>
        <v>0</v>
      </c>
      <c r="K51" s="2728" t="s">
        <v>2139</v>
      </c>
      <c r="L51" s="2193"/>
      <c r="O51" s="2210" t="s">
        <v>2169</v>
      </c>
      <c r="P51" s="2208" t="s">
        <v>2193</v>
      </c>
      <c r="Q51" s="2209">
        <f ca="1">C31</f>
        <v>0</v>
      </c>
      <c r="R51" s="2208" t="s">
        <v>2166</v>
      </c>
    </row>
    <row r="52" spans="1:18" s="1896" customFormat="1" ht="18" customHeight="1" thickBot="1">
      <c r="A52" s="1932"/>
      <c r="F52" s="1921"/>
      <c r="I52" s="2721" t="s">
        <v>2134</v>
      </c>
      <c r="J52" s="2725">
        <f>IF(J50="",J51,J50+J51-YEAR('数据-取费表'!B3))</f>
        <v>0</v>
      </c>
      <c r="K52" s="2717" t="s">
        <v>2140</v>
      </c>
      <c r="L52" s="2731">
        <f ca="1">C45</f>
        <v>0</v>
      </c>
      <c r="O52" s="2210" t="s">
        <v>2170</v>
      </c>
      <c r="P52" s="2208" t="s">
        <v>2171</v>
      </c>
      <c r="Q52" s="2211" t="e">
        <f ca="1">J59</f>
        <v>#VALUE!</v>
      </c>
      <c r="R52" s="2212"/>
    </row>
    <row r="53" spans="1:18" s="1896" customFormat="1" ht="18" customHeight="1" thickBot="1">
      <c r="A53" s="1932"/>
      <c r="F53" s="1921"/>
      <c r="I53" s="2722" t="s">
        <v>2207</v>
      </c>
      <c r="J53" s="2194"/>
      <c r="K53" s="2722" t="s">
        <v>2206</v>
      </c>
      <c r="L53" s="2194"/>
      <c r="O53" s="2210" t="s">
        <v>2172</v>
      </c>
      <c r="P53" s="2208" t="s">
        <v>2173</v>
      </c>
      <c r="Q53" s="2211">
        <f>J53</f>
        <v>0</v>
      </c>
      <c r="R53" s="2212"/>
    </row>
    <row r="54" spans="1:18" s="1896" customFormat="1" ht="29.25" thickBot="1">
      <c r="A54" s="1932"/>
      <c r="I54" s="2723" t="s">
        <v>2673</v>
      </c>
      <c r="J54" s="2776">
        <f ca="1">IF(M48="住宅",MAX(J52,L49-'数据-取费表'!B20),MIN(J52,L49-'数据-取费表'!B20))</f>
        <v>-3</v>
      </c>
      <c r="K54" s="3841"/>
      <c r="L54" s="3842"/>
      <c r="O54" s="2210" t="s">
        <v>2174</v>
      </c>
      <c r="P54" s="2208" t="s">
        <v>2175</v>
      </c>
      <c r="Q54" s="2209">
        <f ca="1">J54</f>
        <v>-3</v>
      </c>
      <c r="R54" s="2208" t="s">
        <v>2176</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2177</v>
      </c>
      <c r="P55" s="2208" t="s">
        <v>2194</v>
      </c>
      <c r="Q55" s="2209">
        <f ca="1">Q49+Q50</f>
        <v>0</v>
      </c>
      <c r="R55" s="2212" t="s">
        <v>2178</v>
      </c>
    </row>
    <row r="56" spans="1:18" s="1896" customFormat="1" ht="16.5" thickBot="1">
      <c r="A56" s="1932"/>
      <c r="B56" s="1933"/>
      <c r="C56" s="1933"/>
      <c r="I56" s="2734" t="s">
        <v>2141</v>
      </c>
      <c r="J56" s="2706" t="e">
        <f ca="1">ROUND(IF(J48="钢混",J58/J51,1-(1-2%)*(J51-J58)/J51),3)</f>
        <v>#VALUE!</v>
      </c>
      <c r="K56" s="2735" t="s">
        <v>2142</v>
      </c>
      <c r="L56" s="2195"/>
      <c r="O56" s="2213" t="s">
        <v>2197</v>
      </c>
      <c r="P56" s="1482"/>
      <c r="Q56" s="1490"/>
      <c r="R56" s="1482"/>
    </row>
    <row r="57" spans="1:18" s="1896" customFormat="1" ht="43.5" thickBot="1">
      <c r="A57" s="1932"/>
      <c r="B57" s="1933"/>
      <c r="C57" s="1933"/>
      <c r="I57" s="2736" t="s">
        <v>2143</v>
      </c>
      <c r="J57" s="2746" t="s">
        <v>1478</v>
      </c>
      <c r="K57" s="2717" t="s">
        <v>2148</v>
      </c>
      <c r="L57" s="1777">
        <f ca="1">IF(L49&lt;J52,"——",L49-J52)</f>
        <v>0</v>
      </c>
      <c r="O57" s="2204" t="s">
        <v>2161</v>
      </c>
      <c r="P57" s="2205" t="s">
        <v>2162</v>
      </c>
      <c r="Q57" s="2206" t="s">
        <v>2163</v>
      </c>
      <c r="R57" s="2205" t="s">
        <v>2164</v>
      </c>
    </row>
    <row r="58" spans="1:18" s="1896" customFormat="1" ht="29.25" thickBot="1">
      <c r="A58" s="1932"/>
      <c r="B58" s="1933"/>
      <c r="C58" s="1933"/>
      <c r="I58" s="2737" t="s">
        <v>2144</v>
      </c>
      <c r="J58" s="2738" t="str">
        <f ca="1">IF(OR(M48="住宅",J52&lt;L49,J57="是"),"——",J52-L49)</f>
        <v>——</v>
      </c>
      <c r="K58" s="2717" t="s">
        <v>2149</v>
      </c>
      <c r="L58" s="1777">
        <f ca="1">IF(L49&lt;J52,"——",IF(L56="比较法",L50,IF(L56="基准地价",L51,L52)))</f>
        <v>0</v>
      </c>
      <c r="O58" s="2207" t="s">
        <v>2165</v>
      </c>
      <c r="P58" s="2208" t="s">
        <v>2191</v>
      </c>
      <c r="Q58" s="2209">
        <f ca="1">C41+J31</f>
        <v>0</v>
      </c>
      <c r="R58" s="2208" t="s">
        <v>2166</v>
      </c>
    </row>
    <row r="59" spans="1:18" s="1896" customFormat="1" ht="29.25" thickBot="1">
      <c r="A59" s="1932"/>
      <c r="B59" s="1933"/>
      <c r="C59" s="1933"/>
      <c r="I59" s="2737" t="s">
        <v>2145</v>
      </c>
      <c r="J59" s="2707" t="e">
        <f ca="1">IF(J56&lt;0.4,0.4,J56)</f>
        <v>#VALUE!</v>
      </c>
      <c r="K59" s="2717" t="s">
        <v>2150</v>
      </c>
      <c r="L59" s="1777">
        <f ca="1">IF(ISERROR(POWER(1+L53,L48-L49)*(POWER(1+L53,L49)-1)/(POWER(1+L53,L48)-1)),0,POWER(1+L53,L48-L49)*(POWER(1+L53,L49)-1)/(POWER(1+L53,L48)-1))</f>
        <v>0</v>
      </c>
      <c r="O59" s="2207" t="s">
        <v>2167</v>
      </c>
      <c r="P59" s="2208" t="s">
        <v>2198</v>
      </c>
      <c r="Q59" s="2209" t="e">
        <f ca="1">L61</f>
        <v>#DIV/0!</v>
      </c>
      <c r="R59" s="2212" t="s">
        <v>2200</v>
      </c>
    </row>
    <row r="60" spans="1:18" s="1896" customFormat="1" ht="29.25" thickBot="1">
      <c r="A60" s="1932"/>
      <c r="B60" s="1933"/>
      <c r="C60" s="1933"/>
      <c r="I60" s="2737" t="s">
        <v>2146</v>
      </c>
      <c r="J60" s="2738" t="str">
        <f ca="1">IF(OR(M48="住宅",J52&lt;L49,J57="是"),"——",ROUND(C30*J59,0))</f>
        <v>——</v>
      </c>
      <c r="K60" s="2717" t="s">
        <v>2151</v>
      </c>
      <c r="L60" s="1777">
        <f ca="1">IF(ISERROR(POWER(1+L53,L48-J52)*(POWER(1+L53,J52)-1)/(POWER(1+L53,L48)-1)),0,POWER(1+L53,L48-J52)*(POWER(1+L53,J52)-1)/(POWER(1+L53,L48)-1))</f>
        <v>0</v>
      </c>
      <c r="O60" s="2210" t="s">
        <v>2169</v>
      </c>
      <c r="P60" s="2208" t="s">
        <v>2199</v>
      </c>
      <c r="Q60" s="2209">
        <f>IF(L56="比较法",L50,IF(L56="基准地价",L51,0))</f>
        <v>0</v>
      </c>
      <c r="R60" s="2208" t="s">
        <v>2166</v>
      </c>
    </row>
    <row r="61" spans="1:18" s="1896" customFormat="1" ht="15.75" thickBot="1">
      <c r="A61" s="1932"/>
      <c r="B61" s="1933"/>
      <c r="C61" s="1933"/>
      <c r="I61" s="2739" t="s">
        <v>2147</v>
      </c>
      <c r="J61" s="2740" t="str">
        <f ca="1">IF(OR(M48="住宅",J52&lt;L49,J57="是"),"0",ROUND(J60/(1+J53)^J54,0))</f>
        <v>0</v>
      </c>
      <c r="K61" s="2741" t="s">
        <v>2152</v>
      </c>
      <c r="L61" s="2740" t="e">
        <f ca="1">IF(OR(M48="住宅",L49&lt;J52),0,ROUND(L58*(L59/L60-1),0))</f>
        <v>#DIV/0!</v>
      </c>
      <c r="O61" s="2210" t="s">
        <v>2170</v>
      </c>
      <c r="P61" s="2208" t="s">
        <v>2179</v>
      </c>
      <c r="Q61" s="2211">
        <f>L53</f>
        <v>0</v>
      </c>
      <c r="R61" s="2212"/>
    </row>
    <row r="62" spans="1:18" s="1896" customFormat="1" ht="20.25" thickBot="1">
      <c r="A62" s="1932"/>
      <c r="B62" s="1933"/>
      <c r="C62" s="1933"/>
      <c r="K62" s="1922"/>
      <c r="O62" s="2210" t="s">
        <v>2172</v>
      </c>
      <c r="P62" s="2208" t="s">
        <v>2180</v>
      </c>
      <c r="Q62" s="2209">
        <f ca="1">L59</f>
        <v>0</v>
      </c>
      <c r="R62" s="2212" t="s">
        <v>2181</v>
      </c>
    </row>
    <row r="63" spans="1:18" s="1896" customFormat="1" ht="20.25" thickBot="1">
      <c r="A63" s="1932"/>
      <c r="B63" s="1933"/>
      <c r="C63" s="1933"/>
      <c r="I63" s="2742" t="s">
        <v>2153</v>
      </c>
      <c r="J63" s="2743" t="s">
        <v>2154</v>
      </c>
      <c r="K63" s="2743" t="s">
        <v>2155</v>
      </c>
      <c r="L63" s="2743" t="s">
        <v>2136</v>
      </c>
      <c r="M63" s="2744" t="s">
        <v>2642</v>
      </c>
      <c r="O63" s="2210" t="s">
        <v>2174</v>
      </c>
      <c r="P63" s="2208" t="s">
        <v>2182</v>
      </c>
      <c r="Q63" s="2209">
        <f ca="1">L60</f>
        <v>0</v>
      </c>
      <c r="R63" s="2212" t="s">
        <v>2183</v>
      </c>
    </row>
    <row r="64" spans="1:18" s="1896" customFormat="1" ht="15.75" thickBot="1">
      <c r="A64" s="1932"/>
      <c r="B64" s="1933"/>
      <c r="C64" s="1933"/>
      <c r="I64" s="2742" t="s">
        <v>2156</v>
      </c>
      <c r="J64" s="2743">
        <v>70</v>
      </c>
      <c r="K64" s="2743">
        <v>50</v>
      </c>
      <c r="L64" s="2743">
        <v>80</v>
      </c>
      <c r="M64" s="2745">
        <v>0.02</v>
      </c>
      <c r="O64" s="2207" t="s">
        <v>2177</v>
      </c>
      <c r="P64" s="2208" t="s">
        <v>2194</v>
      </c>
      <c r="Q64" s="2209" t="e">
        <f ca="1">Q58+Q59</f>
        <v>#DIV/0!</v>
      </c>
      <c r="R64" s="2212" t="s">
        <v>2178</v>
      </c>
    </row>
    <row r="65" spans="1:18" s="1896" customFormat="1" ht="16.5" thickBot="1">
      <c r="A65" s="1932"/>
      <c r="B65" s="1933"/>
      <c r="C65" s="1933"/>
      <c r="I65" s="2742" t="s">
        <v>2157</v>
      </c>
      <c r="J65" s="2743">
        <v>50</v>
      </c>
      <c r="K65" s="2743">
        <v>35</v>
      </c>
      <c r="L65" s="2743">
        <v>60</v>
      </c>
      <c r="M65" s="818">
        <v>0</v>
      </c>
      <c r="O65" s="2213" t="s">
        <v>2201</v>
      </c>
      <c r="P65" s="1482"/>
      <c r="Q65" s="1490"/>
      <c r="R65" s="1482"/>
    </row>
    <row r="66" spans="1:18" s="1896" customFormat="1" ht="15.75" thickBot="1">
      <c r="A66" s="1932"/>
      <c r="B66" s="1933"/>
      <c r="C66" s="1933"/>
      <c r="I66" s="2742" t="s">
        <v>2158</v>
      </c>
      <c r="J66" s="2743">
        <v>40</v>
      </c>
      <c r="K66" s="2743">
        <v>30</v>
      </c>
      <c r="L66" s="2743">
        <v>50</v>
      </c>
      <c r="M66" s="2745">
        <v>0.02</v>
      </c>
      <c r="O66" s="2204" t="s">
        <v>2161</v>
      </c>
      <c r="P66" s="2205" t="s">
        <v>2162</v>
      </c>
      <c r="Q66" s="2206" t="s">
        <v>2163</v>
      </c>
      <c r="R66" s="2205" t="s">
        <v>2164</v>
      </c>
    </row>
    <row r="67" spans="1:18" s="1896" customFormat="1" ht="15.75" thickBot="1">
      <c r="A67" s="1932"/>
      <c r="B67" s="1933"/>
      <c r="C67" s="1933"/>
      <c r="K67" s="1922"/>
      <c r="O67" s="2207" t="s">
        <v>2165</v>
      </c>
      <c r="P67" s="2208" t="s">
        <v>2191</v>
      </c>
      <c r="Q67" s="2209">
        <f ca="1">C41+J31</f>
        <v>0</v>
      </c>
      <c r="R67" s="2208" t="s">
        <v>2166</v>
      </c>
    </row>
    <row r="68" spans="1:18" s="1896" customFormat="1" ht="20.25" thickBot="1">
      <c r="A68" s="1932"/>
      <c r="B68" s="1933"/>
      <c r="C68" s="1933"/>
      <c r="K68" s="1922"/>
      <c r="O68" s="2207" t="s">
        <v>2167</v>
      </c>
      <c r="P68" s="2208" t="s">
        <v>2198</v>
      </c>
      <c r="Q68" s="2209" t="e">
        <f ca="1">L61</f>
        <v>#DIV/0!</v>
      </c>
      <c r="R68" s="2212" t="s">
        <v>2200</v>
      </c>
    </row>
    <row r="69" spans="1:18" s="1896" customFormat="1" ht="21.75" thickBot="1">
      <c r="A69" s="1932"/>
      <c r="B69" s="1933"/>
      <c r="C69" s="1933"/>
      <c r="K69" s="1922"/>
      <c r="O69" s="2210" t="s">
        <v>2169</v>
      </c>
      <c r="P69" s="2208" t="s">
        <v>2199</v>
      </c>
      <c r="Q69" s="2214">
        <f ca="1">L52</f>
        <v>0</v>
      </c>
      <c r="R69" s="2215" t="s">
        <v>2202</v>
      </c>
    </row>
    <row r="70" spans="1:18" s="1896" customFormat="1" ht="20.25" thickBot="1">
      <c r="A70" s="1932"/>
      <c r="B70" s="1933"/>
      <c r="C70" s="1933"/>
      <c r="K70" s="1922"/>
      <c r="O70" s="2210" t="s">
        <v>2170</v>
      </c>
      <c r="P70" s="2216" t="s">
        <v>2184</v>
      </c>
      <c r="Q70" s="2209">
        <f ca="1">ROUND(Q71-Q72*Q73,0)</f>
        <v>0</v>
      </c>
      <c r="R70" s="2212"/>
    </row>
    <row r="71" spans="1:18" s="1896" customFormat="1" ht="15.75" thickBot="1">
      <c r="A71" s="1932"/>
      <c r="B71" s="1933"/>
      <c r="C71" s="1933"/>
      <c r="K71" s="1922"/>
      <c r="O71" s="2210" t="s">
        <v>2185</v>
      </c>
      <c r="P71" s="2216" t="s">
        <v>2186</v>
      </c>
      <c r="Q71" s="2209">
        <f ca="1">C42</f>
        <v>0</v>
      </c>
      <c r="R71" s="2208" t="s">
        <v>2166</v>
      </c>
    </row>
    <row r="72" spans="1:18" s="1896" customFormat="1" ht="15.75" thickBot="1">
      <c r="A72" s="1932"/>
      <c r="B72" s="1933"/>
      <c r="C72" s="1933"/>
      <c r="K72" s="1922"/>
      <c r="O72" s="2210" t="s">
        <v>2187</v>
      </c>
      <c r="P72" s="2216" t="s">
        <v>2188</v>
      </c>
      <c r="Q72" s="2209">
        <f ca="1">C15</f>
        <v>0</v>
      </c>
      <c r="R72" s="2208" t="s">
        <v>2166</v>
      </c>
    </row>
    <row r="73" spans="1:18" s="1896" customFormat="1" ht="15.75" thickBot="1">
      <c r="A73" s="1932"/>
      <c r="B73" s="1933"/>
      <c r="C73" s="1933"/>
      <c r="K73" s="1922"/>
      <c r="O73" s="2210" t="s">
        <v>2189</v>
      </c>
      <c r="P73" s="2216" t="s">
        <v>2190</v>
      </c>
      <c r="Q73" s="2211">
        <f ca="1">F43</f>
        <v>0</v>
      </c>
      <c r="R73" s="2212"/>
    </row>
    <row r="74" spans="1:18" s="1896" customFormat="1" ht="15.75" thickBot="1">
      <c r="A74" s="1932"/>
      <c r="B74" s="1933"/>
      <c r="C74" s="1933"/>
      <c r="K74" s="1922"/>
      <c r="O74" s="2210" t="s">
        <v>2172</v>
      </c>
      <c r="P74" s="2208" t="s">
        <v>2179</v>
      </c>
      <c r="Q74" s="2211">
        <f>L53</f>
        <v>0</v>
      </c>
      <c r="R74" s="2212"/>
    </row>
    <row r="75" spans="1:18" s="1896" customFormat="1" ht="20.25" thickBot="1">
      <c r="A75" s="1932"/>
      <c r="B75" s="1933"/>
      <c r="C75" s="1933"/>
      <c r="K75" s="1922"/>
      <c r="O75" s="2210" t="s">
        <v>2174</v>
      </c>
      <c r="P75" s="2208" t="s">
        <v>2180</v>
      </c>
      <c r="Q75" s="2209">
        <f ca="1">L59</f>
        <v>0</v>
      </c>
      <c r="R75" s="2212" t="s">
        <v>2181</v>
      </c>
    </row>
    <row r="76" spans="1:18" s="1896" customFormat="1" ht="20.25" thickBot="1">
      <c r="A76" s="1932"/>
      <c r="B76" s="1933"/>
      <c r="C76" s="1933"/>
      <c r="K76" s="1922"/>
      <c r="O76" s="2210" t="s">
        <v>2203</v>
      </c>
      <c r="P76" s="2208" t="s">
        <v>2182</v>
      </c>
      <c r="Q76" s="2209">
        <f ca="1">L60</f>
        <v>0</v>
      </c>
      <c r="R76" s="2212" t="s">
        <v>2183</v>
      </c>
    </row>
    <row r="77" spans="1:18" s="1896" customFormat="1" ht="15.75" thickBot="1">
      <c r="A77" s="1932"/>
      <c r="B77" s="1933"/>
      <c r="C77" s="1933"/>
      <c r="K77" s="1922"/>
      <c r="O77" s="2207" t="s">
        <v>2177</v>
      </c>
      <c r="P77" s="2208" t="s">
        <v>2194</v>
      </c>
      <c r="Q77" s="2209" t="e">
        <f ca="1">Q67+Q68</f>
        <v>#DIV/0!</v>
      </c>
      <c r="R77" s="2212" t="s">
        <v>2178</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85" zoomScaleNormal="60" zoomScaleSheetLayoutView="85" workbookViewId="0">
      <selection activeCell="D33" sqref="D33"/>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3121</v>
      </c>
      <c r="D1" s="2716" t="s">
        <v>3376</v>
      </c>
      <c r="E1" s="2196" t="s">
        <v>850</v>
      </c>
      <c r="F1" s="2197">
        <f ca="1">J53</f>
        <v>35.31</v>
      </c>
      <c r="G1" s="3167">
        <f>MATCH(C1,'数据-取费表'!A6:A16,0)+5</f>
        <v>8</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10543</v>
      </c>
      <c r="C2" s="3172"/>
      <c r="D2" s="3173"/>
      <c r="E2" s="3174"/>
      <c r="F2" s="3174"/>
      <c r="G2" s="3168"/>
      <c r="H2" s="1894"/>
      <c r="I2" s="1894"/>
      <c r="J2" s="1894"/>
      <c r="K2" s="1895"/>
      <c r="L2" s="1894"/>
      <c r="M2" s="1894"/>
    </row>
    <row r="3" spans="1:33" ht="18" customHeight="1" thickBot="1">
      <c r="A3" s="805" t="s">
        <v>777</v>
      </c>
      <c r="B3" s="806">
        <f ca="1">IF(ISERROR(B2*10000/F43),0,ROUND(B2*10000/F43,0))</f>
        <v>1678</v>
      </c>
      <c r="C3" s="3172"/>
      <c r="D3" s="3173"/>
      <c r="E3" s="3174"/>
      <c r="F3" s="3174"/>
      <c r="G3" s="3168"/>
      <c r="H3" s="749" t="s">
        <v>677</v>
      </c>
      <c r="I3" s="1271"/>
      <c r="J3" s="1271"/>
      <c r="K3" s="1481"/>
      <c r="L3" s="1271"/>
      <c r="M3" s="1271"/>
    </row>
    <row r="4" spans="1:33" ht="18" customHeight="1">
      <c r="A4" s="750" t="s">
        <v>680</v>
      </c>
      <c r="B4" s="751" t="s">
        <v>1529</v>
      </c>
      <c r="C4" s="751" t="s">
        <v>614</v>
      </c>
      <c r="D4" s="751" t="s">
        <v>615</v>
      </c>
      <c r="E4" s="752" t="s">
        <v>616</v>
      </c>
      <c r="F4" s="753"/>
      <c r="G4" s="1899"/>
      <c r="H4" s="750" t="s">
        <v>680</v>
      </c>
      <c r="I4" s="751" t="s">
        <v>1529</v>
      </c>
      <c r="J4" s="751" t="s">
        <v>614</v>
      </c>
      <c r="K4" s="751" t="s">
        <v>1535</v>
      </c>
      <c r="L4" s="752" t="s">
        <v>616</v>
      </c>
      <c r="M4" s="753"/>
    </row>
    <row r="5" spans="1:33" ht="18" customHeight="1">
      <c r="A5" s="754">
        <v>1</v>
      </c>
      <c r="B5" s="755" t="s">
        <v>2236</v>
      </c>
      <c r="C5" s="55">
        <f ca="1">C6+C10+C12</f>
        <v>760</v>
      </c>
      <c r="D5" s="2301" t="s">
        <v>2239</v>
      </c>
      <c r="E5" s="2295"/>
      <c r="F5" s="2296"/>
      <c r="G5" s="1899"/>
      <c r="H5" s="754">
        <v>1</v>
      </c>
      <c r="I5" s="755" t="s">
        <v>2236</v>
      </c>
      <c r="J5" s="55">
        <f ca="1">J6+J10+J12</f>
        <v>0</v>
      </c>
      <c r="K5" s="2301" t="s">
        <v>2239</v>
      </c>
      <c r="L5" s="2295"/>
      <c r="M5" s="2296"/>
    </row>
    <row r="6" spans="1:33" ht="18" customHeight="1">
      <c r="A6" s="1700" t="s">
        <v>1624</v>
      </c>
      <c r="B6" s="3837" t="s">
        <v>2241</v>
      </c>
      <c r="C6" s="756">
        <f ca="1">ROUND(F6*F8*F7*(1-F9)/10000,0)</f>
        <v>760</v>
      </c>
      <c r="D6" s="2302" t="s">
        <v>2240</v>
      </c>
      <c r="E6" s="757" t="s">
        <v>1538</v>
      </c>
      <c r="F6" s="758">
        <f ca="1">INDIRECT("'数据-取费表'!u"&amp;$G$1)</f>
        <v>400</v>
      </c>
      <c r="G6" s="1899"/>
      <c r="H6" s="2309" t="s">
        <v>1624</v>
      </c>
      <c r="I6" s="3837" t="s">
        <v>2241</v>
      </c>
      <c r="J6" s="756">
        <f ca="1">ROUND(M6*M8*M7*(1-M9)/10000,0)</f>
        <v>0</v>
      </c>
      <c r="K6" s="339" t="s">
        <v>618</v>
      </c>
      <c r="L6" s="757" t="s">
        <v>1538</v>
      </c>
      <c r="M6" s="758">
        <f ca="1">INDIRECT("'数据-取费表'!z"&amp;$G$1)</f>
        <v>0</v>
      </c>
    </row>
    <row r="7" spans="1:33" ht="18" customHeight="1">
      <c r="A7" s="2305"/>
      <c r="B7" s="3838"/>
      <c r="C7" s="761"/>
      <c r="D7" s="762"/>
      <c r="E7" s="757" t="s">
        <v>620</v>
      </c>
      <c r="F7" s="758">
        <f ca="1">IF(INDIRECT("'数据-取费表'!ah"&amp;$G$1)="",INDIRECT("'数据-取费表'!k"&amp;$G$1),INDIRECT("'数据-取费表'!ah"&amp;$G$1))</f>
        <v>1760</v>
      </c>
      <c r="G7" s="1899"/>
      <c r="H7" s="2294"/>
      <c r="I7" s="3838"/>
      <c r="J7" s="761"/>
      <c r="K7" s="762"/>
      <c r="L7" s="757" t="s">
        <v>620</v>
      </c>
      <c r="M7" s="758">
        <f ca="1">F7</f>
        <v>1760</v>
      </c>
    </row>
    <row r="8" spans="1:33" ht="18" customHeight="1">
      <c r="A8" s="2298"/>
      <c r="B8" s="3839"/>
      <c r="C8" s="761"/>
      <c r="D8" s="762"/>
      <c r="E8" s="757" t="s">
        <v>1540</v>
      </c>
      <c r="F8" s="758">
        <f ca="1">INDIRECT("'数据-取费表'!ai"&amp;$G$1)</f>
        <v>12</v>
      </c>
      <c r="G8" s="1899"/>
      <c r="H8" s="2294"/>
      <c r="I8" s="3839"/>
      <c r="J8" s="761"/>
      <c r="K8" s="762"/>
      <c r="L8" s="757" t="s">
        <v>1540</v>
      </c>
      <c r="M8" s="758">
        <f ca="1">INDIRECT("'数据-取费表'!ai"&amp;$G$1)</f>
        <v>12</v>
      </c>
    </row>
    <row r="9" spans="1:33" ht="18" customHeight="1">
      <c r="A9" s="759"/>
      <c r="B9" s="3840"/>
      <c r="C9" s="761"/>
      <c r="D9" s="762"/>
      <c r="E9" s="757" t="s">
        <v>622</v>
      </c>
      <c r="F9" s="767">
        <f ca="1">INDIRECT("'数据-取费表'!w"&amp;$G$1)</f>
        <v>0.1</v>
      </c>
      <c r="G9" s="1899"/>
      <c r="H9" s="2310"/>
      <c r="I9" s="3839"/>
      <c r="J9" s="761"/>
      <c r="K9" s="762"/>
      <c r="L9" s="768" t="s">
        <v>622</v>
      </c>
      <c r="M9" s="769">
        <f ca="1">INDIRECT("'数据-取费表'!ab"&amp;$G$1)</f>
        <v>0</v>
      </c>
    </row>
    <row r="10" spans="1:33" ht="18" customHeight="1">
      <c r="A10" s="1700" t="s">
        <v>1625</v>
      </c>
      <c r="B10" s="2299" t="s">
        <v>2237</v>
      </c>
      <c r="C10" s="772">
        <f ca="1">ROUND(IF(F10="押一",C6/12*F11,IF(F10="押二",C6/12*2*F11,IF(F10="押三",C6/12*3*F11,C11*F11))),0)</f>
        <v>0</v>
      </c>
      <c r="D10" s="2306" t="s">
        <v>2669</v>
      </c>
      <c r="E10" s="2303" t="s">
        <v>2242</v>
      </c>
      <c r="F10" s="2387" t="s">
        <v>4015</v>
      </c>
      <c r="G10" s="1899"/>
      <c r="H10" s="2337" t="s">
        <v>1625</v>
      </c>
      <c r="I10" s="2342" t="s">
        <v>2237</v>
      </c>
      <c r="J10" s="756">
        <f ca="1">ROUND(IF(M10="押一",J6/12*M11,IF(M10="押二",J6/12*2*M11,IF(M10="押三",J6/12*3*M11,J11*M11))),0)</f>
        <v>0</v>
      </c>
      <c r="K10" s="2306" t="s">
        <v>2669</v>
      </c>
      <c r="L10" s="2303" t="s">
        <v>2242</v>
      </c>
      <c r="M10" s="2387"/>
    </row>
    <row r="11" spans="1:33" ht="18" customHeight="1">
      <c r="A11" s="763"/>
      <c r="B11" s="2300" t="s">
        <v>2290</v>
      </c>
      <c r="C11" s="2304"/>
      <c r="D11" s="762"/>
      <c r="E11" s="2303" t="s">
        <v>2235</v>
      </c>
      <c r="F11" s="769">
        <f ca="1">'数据-取费表'!B39</f>
        <v>1.4999999999999999E-2</v>
      </c>
      <c r="G11" s="1899"/>
      <c r="H11" s="2338"/>
      <c r="I11" s="2300" t="s">
        <v>2290</v>
      </c>
      <c r="J11" s="2304"/>
      <c r="K11" s="2339"/>
      <c r="L11" s="2303" t="s">
        <v>2235</v>
      </c>
      <c r="M11" s="2297">
        <f ca="1">'数据-取费表'!B39</f>
        <v>1.4999999999999999E-2</v>
      </c>
    </row>
    <row r="12" spans="1:33" ht="18" customHeight="1" thickBot="1">
      <c r="A12" s="2313" t="s">
        <v>2245</v>
      </c>
      <c r="B12" s="2314" t="s">
        <v>2238</v>
      </c>
      <c r="C12" s="2315"/>
      <c r="D12" s="2316"/>
      <c r="E12" s="2317"/>
      <c r="F12" s="2318"/>
      <c r="G12" s="1899"/>
      <c r="H12" s="2327" t="s">
        <v>2245</v>
      </c>
      <c r="I12" s="2340" t="s">
        <v>2238</v>
      </c>
      <c r="J12" s="2341"/>
      <c r="K12" s="2316"/>
      <c r="L12" s="2317"/>
      <c r="M12" s="2330"/>
    </row>
    <row r="13" spans="1:33" ht="18" customHeight="1" thickTop="1">
      <c r="A13" s="1699">
        <v>2</v>
      </c>
      <c r="B13" s="1697" t="s">
        <v>1542</v>
      </c>
      <c r="C13" s="765">
        <f ca="1">ROUND(C29*F13,0)</f>
        <v>25852</v>
      </c>
      <c r="D13" s="1704" t="s">
        <v>2087</v>
      </c>
      <c r="E13" s="1704" t="s">
        <v>1544</v>
      </c>
      <c r="F13" s="2312">
        <f ca="1">INDIRECT("'数据-取费表'!y"&amp;$G$1)</f>
        <v>1</v>
      </c>
      <c r="G13" s="1899"/>
      <c r="H13" s="1699">
        <v>2</v>
      </c>
      <c r="I13" s="1697" t="s">
        <v>1542</v>
      </c>
      <c r="J13" s="1689">
        <f ca="1">ROUND(J14*J15,0)</f>
        <v>0</v>
      </c>
      <c r="K13" s="1691" t="s">
        <v>624</v>
      </c>
      <c r="L13" s="2328"/>
      <c r="M13" s="2329"/>
    </row>
    <row r="14" spans="1:33" ht="18" customHeight="1">
      <c r="A14" s="1531" t="s">
        <v>1631</v>
      </c>
      <c r="B14" s="757" t="s">
        <v>627</v>
      </c>
      <c r="C14" s="777">
        <f ca="1">INDIRECT("'数据-取费表'!m"&amp;$G$1)+INDIRECT("'数据-取费表'!t"&amp;$G$1)</f>
        <v>18924</v>
      </c>
      <c r="D14" s="3448" t="s">
        <v>628</v>
      </c>
      <c r="E14" s="3449"/>
      <c r="F14" s="778"/>
      <c r="G14" s="1899"/>
      <c r="H14" s="1532" t="s">
        <v>1624</v>
      </c>
      <c r="I14" s="2065" t="s">
        <v>2540</v>
      </c>
      <c r="J14" s="53">
        <f ca="1">C29</f>
        <v>25852</v>
      </c>
      <c r="K14" s="26"/>
      <c r="L14" s="774"/>
      <c r="M14" s="775"/>
    </row>
    <row r="15" spans="1:33" s="1901" customFormat="1" ht="18" customHeight="1" thickBot="1">
      <c r="A15" s="1531" t="s">
        <v>1632</v>
      </c>
      <c r="B15" s="757" t="s">
        <v>629</v>
      </c>
      <c r="C15" s="53">
        <f ca="1">ROUND(C14*F15,0)</f>
        <v>568</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1633</v>
      </c>
      <c r="B16" s="757" t="s">
        <v>632</v>
      </c>
      <c r="C16" s="53">
        <f ca="1">ROUND(INDIRECT("'数据-取费表'!m"&amp;$G$1)*F16,0)</f>
        <v>0</v>
      </c>
      <c r="D16" s="757" t="s">
        <v>1546</v>
      </c>
      <c r="E16" s="757" t="s">
        <v>1547</v>
      </c>
      <c r="F16" s="782">
        <f ca="1">IF(INDIRECT("'数据-取费表'!c"&amp;$G$1)="住宅",'数据-取费表'!B34,0)</f>
        <v>0</v>
      </c>
      <c r="G16" s="1899"/>
      <c r="H16" s="1699" t="s">
        <v>1548</v>
      </c>
      <c r="I16" s="1697" t="s">
        <v>633</v>
      </c>
      <c r="J16" s="765">
        <f ca="1">ROUND(J17+J22+J23+J24,0)</f>
        <v>2306</v>
      </c>
      <c r="K16" s="1691" t="s">
        <v>1550</v>
      </c>
      <c r="L16" s="3450"/>
      <c r="M16" s="2296"/>
    </row>
    <row r="17" spans="1:33" s="1901" customFormat="1" ht="18" customHeight="1">
      <c r="A17" s="1531" t="s">
        <v>1683</v>
      </c>
      <c r="B17" s="757" t="s">
        <v>635</v>
      </c>
      <c r="C17" s="53">
        <f ca="1">ROUND(F17*(F43+INDIRECT("'数据-取费表'!S"&amp;$G$1))/10000,0)</f>
        <v>1262</v>
      </c>
      <c r="D17" s="757" t="s">
        <v>636</v>
      </c>
      <c r="E17" s="757" t="s">
        <v>1552</v>
      </c>
      <c r="F17" s="56">
        <f>'数据-取费表'!B35</f>
        <v>200</v>
      </c>
      <c r="G17" s="3169"/>
      <c r="H17" s="1532" t="s">
        <v>1624</v>
      </c>
      <c r="I17" s="757" t="s">
        <v>638</v>
      </c>
      <c r="J17" s="2927">
        <f ca="1">ROUND(IF(AND(项目基本情况!B11="自然人",项目基本情况!B10="北京市"),J6*M17/(1+'数据-取费表'!C42),J18+J19+J20),0)</f>
        <v>2177</v>
      </c>
      <c r="K17" s="3448" t="s">
        <v>1553</v>
      </c>
      <c r="L17" s="3447" t="s">
        <v>640</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284</v>
      </c>
      <c r="D18" s="757" t="s">
        <v>1546</v>
      </c>
      <c r="E18" s="757" t="s">
        <v>1547</v>
      </c>
      <c r="F18" s="782">
        <f>'数据-取费表'!B36</f>
        <v>1.4999999999999999E-2</v>
      </c>
      <c r="G18" s="3169"/>
      <c r="H18" s="1531" t="s">
        <v>1631</v>
      </c>
      <c r="I18" s="757" t="s">
        <v>1555</v>
      </c>
      <c r="J18" s="53">
        <f ca="1">ROUND(J6*M18/(1+'数据-取费表'!C42),1)</f>
        <v>0</v>
      </c>
      <c r="K18" s="3447" t="s">
        <v>1556</v>
      </c>
      <c r="L18" s="757" t="s">
        <v>1547</v>
      </c>
      <c r="M18" s="782">
        <f>'数据-取费表'!B41</f>
        <v>5.6000000000000001E-2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1624</v>
      </c>
      <c r="B19" s="757" t="s">
        <v>644</v>
      </c>
      <c r="C19" s="53">
        <f ca="1">SUM(C14:C18)</f>
        <v>21038</v>
      </c>
      <c r="D19" s="259" t="s">
        <v>645</v>
      </c>
      <c r="E19" s="3452"/>
      <c r="F19" s="56"/>
      <c r="G19" s="1899"/>
      <c r="H19" s="1531" t="s">
        <v>1632</v>
      </c>
      <c r="I19" s="757" t="s">
        <v>646</v>
      </c>
      <c r="J19" s="53">
        <f ca="1">IF(K19="按租金收入计税",ROUND(J6*M19/(1+'数据-取费表'!C42),1),ROUND(C29*F33*0.7,1))</f>
        <v>2171.6</v>
      </c>
      <c r="K19" s="783" t="s">
        <v>647</v>
      </c>
      <c r="L19" s="757" t="s">
        <v>1547</v>
      </c>
      <c r="M19" s="782">
        <f>IF(K19="按租金收入计税",'数据-取费表'!B51,'数据-取费表'!B50)</f>
        <v>1.2E-2</v>
      </c>
    </row>
    <row r="20" spans="1:33" s="1901" customFormat="1" ht="18" customHeight="1">
      <c r="A20" s="1532" t="s">
        <v>1685</v>
      </c>
      <c r="B20" s="757" t="s">
        <v>648</v>
      </c>
      <c r="C20" s="53">
        <f ca="1">ROUND(C19*F20,0)</f>
        <v>421</v>
      </c>
      <c r="D20" s="784" t="s">
        <v>649</v>
      </c>
      <c r="E20" s="757" t="s">
        <v>1547</v>
      </c>
      <c r="F20" s="782">
        <f>'数据-取费表'!B37</f>
        <v>0.02</v>
      </c>
      <c r="G20" s="3169"/>
      <c r="H20" s="1534" t="s">
        <v>1633</v>
      </c>
      <c r="I20" s="339" t="s">
        <v>650</v>
      </c>
      <c r="J20" s="54">
        <f ca="1">ROUND(M20*M21/10000,0)</f>
        <v>5</v>
      </c>
      <c r="K20" s="786" t="s">
        <v>651</v>
      </c>
      <c r="L20" s="757" t="s">
        <v>652</v>
      </c>
      <c r="M20" s="615">
        <f>'数据-取费表'!B52</f>
        <v>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655</v>
      </c>
      <c r="F21" s="782">
        <f>'数据-取费表'!B38</f>
        <v>0.02</v>
      </c>
      <c r="G21" s="3169"/>
      <c r="H21" s="2311"/>
      <c r="I21" s="766"/>
      <c r="J21" s="69"/>
      <c r="K21" s="788"/>
      <c r="L21" s="757" t="s">
        <v>656</v>
      </c>
      <c r="M21" s="758">
        <f ca="1">INDIRECT("'数据-取费表'!r"&amp;$G$1)</f>
        <v>10274.26</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657</v>
      </c>
      <c r="C22" s="53"/>
      <c r="D22" s="2346" t="str">
        <f>IF(F23&lt;=1,"单利计息。","复利计息。")&amp;"建造成本、管理费用、销售费用产生的利息。"</f>
        <v>复利计息。建造成本、管理费用、销售费用产生的利息。</v>
      </c>
      <c r="E22" s="3452"/>
      <c r="F22" s="56"/>
      <c r="G22" s="1899"/>
      <c r="H22" s="1532" t="s">
        <v>1685</v>
      </c>
      <c r="I22" s="757" t="s">
        <v>1568</v>
      </c>
      <c r="J22" s="53">
        <f ca="1">ROUND(J14*M22,0)</f>
        <v>129</v>
      </c>
      <c r="K22" s="3447" t="s">
        <v>659</v>
      </c>
      <c r="L22" s="757" t="s">
        <v>1547</v>
      </c>
      <c r="M22" s="789">
        <f ca="1">INDIRECT("'数据-取费表'!Ak"&amp;$G$1)</f>
        <v>5.0000000000000001E-3</v>
      </c>
    </row>
    <row r="23" spans="1:33" s="1901" customFormat="1" ht="18" customHeight="1">
      <c r="A23" s="1531" t="s">
        <v>1631</v>
      </c>
      <c r="B23" s="757" t="s">
        <v>2218</v>
      </c>
      <c r="C23" s="53">
        <f ca="1">ROUND(IF('数据-取费表'!B22&lt;=1,(C19+C20)*F24*F23/2,(C19+C20)*(POWER((1+F24),F23/2)-1)),0)</f>
        <v>1366</v>
      </c>
      <c r="D23" s="2345" t="str">
        <f>IF(F23&lt;=1,"(建造成本+管理费用)×利率×(建设周期÷2)","(建造成本+管理费用)×((1+利率)^(建设周期÷2)-1)")</f>
        <v>(建造成本+管理费用)×((1+利率)^(建设周期÷2)-1)</v>
      </c>
      <c r="E23" s="757" t="s">
        <v>660</v>
      </c>
      <c r="F23" s="615">
        <f>'数据-取费表'!B20</f>
        <v>3</v>
      </c>
      <c r="G23" s="3169"/>
      <c r="H23" s="1532" t="s">
        <v>1686</v>
      </c>
      <c r="I23" s="757" t="s">
        <v>661</v>
      </c>
      <c r="J23" s="53">
        <f ca="1">ROUND(J13*M23,0)</f>
        <v>0</v>
      </c>
      <c r="K23" s="3447" t="s">
        <v>662</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663</v>
      </c>
      <c r="C24" s="53">
        <f ca="1">ROUND(IF('数据-取费表'!B22&lt;=1,F21*F24*F23/2,F21*(POWER((1+F24),F23/2)-1)),4)</f>
        <v>1.2999999999999999E-3</v>
      </c>
      <c r="D24" s="2345" t="str">
        <f>IF(F23&lt;=1,"销售费用×利率×(建设周期÷2)","销售费用×((1+利率)^(建设周期÷2)-1)")</f>
        <v>销售费用×((1+利率)^(建设周期÷2)-1)</v>
      </c>
      <c r="E24" s="757" t="s">
        <v>664</v>
      </c>
      <c r="F24" s="791">
        <f ca="1">'数据-取费表'!B40</f>
        <v>4.2000000000000003E-2</v>
      </c>
      <c r="G24" s="3169"/>
      <c r="H24" s="2327" t="s">
        <v>1687</v>
      </c>
      <c r="I24" s="2322" t="s">
        <v>648</v>
      </c>
      <c r="J24" s="2320">
        <f ca="1">ROUND(J5*M24,0)</f>
        <v>0</v>
      </c>
      <c r="K24" s="2321" t="s">
        <v>665</v>
      </c>
      <c r="L24" s="2322" t="s">
        <v>1547</v>
      </c>
      <c r="M24" s="2318">
        <f ca="1">INDIRECT("'数据-取费表'!Am"&amp;$G$1)</f>
        <v>1.4999999999999999E-2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667</v>
      </c>
      <c r="E25" s="3452"/>
      <c r="F25" s="56"/>
      <c r="G25" s="1899"/>
      <c r="H25" s="1699" t="s">
        <v>1576</v>
      </c>
      <c r="I25" s="2644" t="s">
        <v>2537</v>
      </c>
      <c r="J25" s="765">
        <f ca="1">J5-J16</f>
        <v>-2306</v>
      </c>
      <c r="K25" s="2324" t="s">
        <v>682</v>
      </c>
      <c r="L25" s="2325"/>
      <c r="M25" s="2326"/>
    </row>
    <row r="26" spans="1:33" ht="18" customHeight="1">
      <c r="A26" s="1531" t="s">
        <v>1631</v>
      </c>
      <c r="B26" s="757" t="s">
        <v>2219</v>
      </c>
      <c r="C26" s="53">
        <f ca="1">ROUND((C19+C20)*F26,0)</f>
        <v>1073</v>
      </c>
      <c r="D26" s="784" t="s">
        <v>683</v>
      </c>
      <c r="E26" s="768" t="s">
        <v>1579</v>
      </c>
      <c r="F26" s="767">
        <f ca="1">INDIRECT("'数据-取费表'!q"&amp;$G$1)</f>
        <v>0.05</v>
      </c>
      <c r="G26" s="1899"/>
      <c r="H26" s="2307" t="s">
        <v>1580</v>
      </c>
      <c r="I26" s="2066" t="s">
        <v>2542</v>
      </c>
      <c r="J26" s="756">
        <f ca="1">IF(J5&lt;&gt;0,ROUND(J25*(1-((1+M28)/(1+M26))^M27)/(M26-M28),0),0)</f>
        <v>0</v>
      </c>
      <c r="K26" s="786" t="s">
        <v>686</v>
      </c>
      <c r="L26" s="757" t="s">
        <v>2205</v>
      </c>
      <c r="M26" s="767">
        <f ca="1">INDIRECT("'数据-取费表'!I"&amp;$G$1)</f>
        <v>0.05</v>
      </c>
    </row>
    <row r="27" spans="1:33" ht="18" customHeight="1">
      <c r="A27" s="1531" t="s">
        <v>1632</v>
      </c>
      <c r="B27" s="757" t="s">
        <v>668</v>
      </c>
      <c r="C27" s="53">
        <f ca="1">ROUND(F21*F26,4)</f>
        <v>1E-3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5.33E-2</v>
      </c>
      <c r="D28" s="784" t="s">
        <v>2089</v>
      </c>
      <c r="E28" s="757" t="s">
        <v>1547</v>
      </c>
      <c r="F28" s="782">
        <f>'数据-取费表'!B41</f>
        <v>5.6000000000000001E-2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25852</v>
      </c>
      <c r="D29" s="2321"/>
      <c r="E29" s="2322"/>
      <c r="F29" s="2323"/>
      <c r="G29" s="3169"/>
      <c r="H29" s="795" t="s">
        <v>1587</v>
      </c>
      <c r="I29" s="796" t="s">
        <v>1588</v>
      </c>
      <c r="J29" s="797">
        <f ca="1">ROUND(J26/(1+F40)^F41,0)</f>
        <v>0</v>
      </c>
      <c r="K29" s="798" t="s">
        <v>670</v>
      </c>
      <c r="L29" s="799"/>
      <c r="M29" s="800">
        <f ca="1">INDIRECT("'数据-取费表'!k"&amp;$G$1)</f>
        <v>62819.43</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1548</v>
      </c>
      <c r="B30" s="1697" t="s">
        <v>633</v>
      </c>
      <c r="C30" s="765">
        <f ca="1">ROUND(C31+C36+C37+C38,0)</f>
        <v>300</v>
      </c>
      <c r="D30" s="1691" t="s">
        <v>1550</v>
      </c>
      <c r="E30" s="3450"/>
      <c r="F30" s="2296"/>
      <c r="G30" s="1899"/>
      <c r="H30" s="1902"/>
      <c r="I30" s="1903"/>
      <c r="J30" s="1904"/>
      <c r="K30" s="1905"/>
      <c r="L30" s="1906"/>
      <c r="M30" s="1907"/>
    </row>
    <row r="31" spans="1:33" ht="18" customHeight="1">
      <c r="A31" s="1532" t="s">
        <v>1624</v>
      </c>
      <c r="B31" s="757" t="s">
        <v>638</v>
      </c>
      <c r="C31" s="2927">
        <f ca="1">ROUND(IF(AND(项目基本情况!B11="自然人",项目基本情况!B10="北京市"),C6*F31/(1+'数据-取费表'!C42),C32+C33+C34),0)</f>
        <v>133</v>
      </c>
      <c r="D31" s="3448" t="s">
        <v>1553</v>
      </c>
      <c r="E31" s="3447" t="s">
        <v>672</v>
      </c>
      <c r="F31" s="2926" t="str">
        <f>IF(项目基本情况!B11="企业","——",IF('数据-取费表'!B10="住宅",IF(F6*F7*F8/12/(1+'数据-取费表'!F30)&gt;100000,4%,2.5%),IF(F6*F7*F8/12/(1+'数据-取费表'!F30)&gt;100000,12%,7%)))</f>
        <v>——</v>
      </c>
      <c r="G31" s="1899"/>
      <c r="H31" s="3166" t="s">
        <v>2723</v>
      </c>
      <c r="I31" s="1903"/>
      <c r="J31" s="1904"/>
      <c r="K31" s="1905"/>
      <c r="L31" s="1906"/>
      <c r="M31" s="1907"/>
    </row>
    <row r="32" spans="1:33" ht="18" customHeight="1">
      <c r="A32" s="1531" t="s">
        <v>1631</v>
      </c>
      <c r="B32" s="757" t="s">
        <v>1555</v>
      </c>
      <c r="C32" s="53">
        <f ca="1">ROUND(C6*F32/(1+'数据-取费表'!C42),1)</f>
        <v>40.5</v>
      </c>
      <c r="D32" s="3447" t="s">
        <v>1556</v>
      </c>
      <c r="E32" s="757" t="s">
        <v>1547</v>
      </c>
      <c r="F32" s="782">
        <f>'数据-取费表'!B41</f>
        <v>5.6000000000000001E-2</v>
      </c>
      <c r="G32" s="1899"/>
      <c r="H32" s="1908"/>
      <c r="I32" s="1909"/>
      <c r="J32" s="1910"/>
      <c r="K32" s="1911"/>
      <c r="L32" s="1912"/>
      <c r="M32" s="1913"/>
    </row>
    <row r="33" spans="1:18" ht="18" customHeight="1">
      <c r="A33" s="1531" t="s">
        <v>1632</v>
      </c>
      <c r="B33" s="757" t="s">
        <v>646</v>
      </c>
      <c r="C33" s="53">
        <f ca="1">IF(D33="按租金收入计税",ROUND(C6*F33/(1+'数据-取费表'!C42),1),IF(D33="按房产原值计税",ROUND(C29*F33*0.7,1),INDIRECT("'数据-取费表'!Aj"&amp;$G$1)))</f>
        <v>86.9</v>
      </c>
      <c r="D33" s="783" t="s">
        <v>3378</v>
      </c>
      <c r="E33" s="757" t="s">
        <v>1547</v>
      </c>
      <c r="F33" s="782">
        <f>IF(D33="按租金收入计税",'数据-取费表'!B51,'数据-取费表'!B50)</f>
        <v>0.12</v>
      </c>
      <c r="G33" s="1899"/>
      <c r="H33" s="1914"/>
      <c r="I33" s="1914"/>
      <c r="J33" s="1914"/>
      <c r="K33" s="1915"/>
      <c r="L33" s="1914"/>
      <c r="M33" s="1914"/>
    </row>
    <row r="34" spans="1:18" ht="18" customHeight="1">
      <c r="A34" s="1534" t="s">
        <v>1633</v>
      </c>
      <c r="B34" s="339" t="s">
        <v>650</v>
      </c>
      <c r="C34" s="54">
        <f ca="1">ROUND(F34*F35/10000,1)</f>
        <v>5.0999999999999996</v>
      </c>
      <c r="D34" s="786" t="s">
        <v>651</v>
      </c>
      <c r="E34" s="757" t="s">
        <v>652</v>
      </c>
      <c r="F34" s="615">
        <f>'数据-取费表'!B52</f>
        <v>5</v>
      </c>
      <c r="G34" s="1899"/>
      <c r="H34" s="1902"/>
      <c r="I34" s="807" t="s">
        <v>1613</v>
      </c>
      <c r="J34" s="808"/>
      <c r="K34" s="1917"/>
      <c r="L34" s="1916"/>
      <c r="M34" s="1916"/>
    </row>
    <row r="35" spans="1:18" ht="18" customHeight="1">
      <c r="A35" s="787"/>
      <c r="B35" s="766"/>
      <c r="C35" s="69"/>
      <c r="D35" s="788"/>
      <c r="E35" s="757" t="s">
        <v>656</v>
      </c>
      <c r="F35" s="758">
        <f ca="1">INDIRECT("'数据-取费表'!r"&amp;$G$1)</f>
        <v>10274.26</v>
      </c>
      <c r="G35" s="1899"/>
      <c r="H35" s="1902"/>
      <c r="I35" s="809" t="s">
        <v>1614</v>
      </c>
      <c r="J35" s="810">
        <f ca="1">ROUND(C13*J36,0)</f>
        <v>2068</v>
      </c>
      <c r="K35" s="1915"/>
      <c r="L35" s="1914"/>
      <c r="M35" s="1914"/>
    </row>
    <row r="36" spans="1:18" ht="18" customHeight="1">
      <c r="A36" s="1532" t="s">
        <v>1685</v>
      </c>
      <c r="B36" s="757" t="s">
        <v>1568</v>
      </c>
      <c r="C36" s="53">
        <f ca="1">ROUND(C29*F36,1)</f>
        <v>129.30000000000001</v>
      </c>
      <c r="D36" s="3447" t="s">
        <v>1603</v>
      </c>
      <c r="E36" s="757" t="s">
        <v>1547</v>
      </c>
      <c r="F36" s="789">
        <f ca="1">INDIRECT("'数据-取费表'!Ak"&amp;$G$1)</f>
        <v>5.0000000000000001E-3</v>
      </c>
      <c r="G36" s="1899"/>
      <c r="H36" s="1914"/>
      <c r="I36" s="811" t="s">
        <v>1615</v>
      </c>
      <c r="J36" s="812">
        <f ca="1">INDIRECT("'数据-取费表'!j"&amp;$G$1)</f>
        <v>0.08</v>
      </c>
      <c r="K36" s="1918"/>
      <c r="L36" s="1914"/>
      <c r="M36" s="1914"/>
    </row>
    <row r="37" spans="1:18" ht="18" customHeight="1">
      <c r="A37" s="1532" t="s">
        <v>1686</v>
      </c>
      <c r="B37" s="757" t="s">
        <v>661</v>
      </c>
      <c r="C37" s="53">
        <f ca="1">ROUND(C13*F37,1)</f>
        <v>25.9</v>
      </c>
      <c r="D37" s="3447" t="s">
        <v>662</v>
      </c>
      <c r="E37" s="757" t="s">
        <v>1547</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11.4</v>
      </c>
      <c r="D38" s="2321" t="s">
        <v>665</v>
      </c>
      <c r="E38" s="2322" t="s">
        <v>1547</v>
      </c>
      <c r="F38" s="2318">
        <f ca="1">INDIRECT("'数据-取费表'!Am"&amp;$G$1)</f>
        <v>1.4999999999999999E-2</v>
      </c>
      <c r="G38" s="1899"/>
      <c r="H38" s="1914"/>
      <c r="I38" s="815" t="s">
        <v>1617</v>
      </c>
      <c r="J38" s="816"/>
      <c r="K38" s="1919"/>
      <c r="L38" s="1914"/>
      <c r="M38" s="1914"/>
    </row>
    <row r="39" spans="1:18" ht="24.6" customHeight="1" thickTop="1">
      <c r="A39" s="1699" t="s">
        <v>1576</v>
      </c>
      <c r="B39" s="2644" t="s">
        <v>2537</v>
      </c>
      <c r="C39" s="765">
        <f ca="1">C5-C30</f>
        <v>460</v>
      </c>
      <c r="D39" s="2324" t="s">
        <v>682</v>
      </c>
      <c r="E39" s="2325"/>
      <c r="F39" s="2326"/>
      <c r="G39" s="1899"/>
      <c r="H39" s="1914"/>
      <c r="I39" s="809" t="s">
        <v>1618</v>
      </c>
      <c r="J39" s="817">
        <f ca="1">ROUND(J35/C39,3)</f>
        <v>4.4960000000000004</v>
      </c>
      <c r="K39" s="1919"/>
      <c r="L39" s="1914"/>
      <c r="M39" s="1914"/>
    </row>
    <row r="40" spans="1:18" ht="18" customHeight="1">
      <c r="A40" s="754" t="s">
        <v>1580</v>
      </c>
      <c r="B40" s="2066" t="s">
        <v>2091</v>
      </c>
      <c r="C40" s="756">
        <f ca="1">ROUND(C39*(1-((1+F42)/(1+F40))^F41)/(F40-F42),0)</f>
        <v>10543</v>
      </c>
      <c r="D40" s="786" t="s">
        <v>686</v>
      </c>
      <c r="E40" s="757" t="s">
        <v>2205</v>
      </c>
      <c r="F40" s="767">
        <f ca="1">INDIRECT("'数据-取费表'!I"&amp;$G$1)</f>
        <v>0.05</v>
      </c>
      <c r="G40" s="1899"/>
      <c r="H40" s="1899"/>
      <c r="I40" s="809" t="s">
        <v>1619</v>
      </c>
      <c r="J40" s="817">
        <f ca="1">1-J39</f>
        <v>-3.4960000000000004</v>
      </c>
      <c r="K40" s="1919"/>
      <c r="L40" s="1899"/>
      <c r="M40" s="1899"/>
    </row>
    <row r="41" spans="1:18" ht="18" customHeight="1">
      <c r="A41" s="759"/>
      <c r="B41" s="760"/>
      <c r="C41" s="761"/>
      <c r="D41" s="793" t="s">
        <v>1608</v>
      </c>
      <c r="E41" s="757" t="s">
        <v>1584</v>
      </c>
      <c r="F41" s="794">
        <f ca="1">IF(INDIRECT("'数据-取费表'!af"&amp;$G$1)=0,INDIRECT("'数据-取费表'!ae"&amp;$G$1),INDIRECT("'数据-取费表'!af"&amp;$G$1))</f>
        <v>35.31</v>
      </c>
      <c r="G41" s="1899"/>
      <c r="H41" s="1854"/>
      <c r="I41" s="815" t="s">
        <v>1620</v>
      </c>
      <c r="J41" s="818"/>
      <c r="K41" s="1918"/>
      <c r="L41" s="1854"/>
      <c r="M41" s="1854"/>
    </row>
    <row r="42" spans="1:18" ht="18" customHeight="1">
      <c r="A42" s="763"/>
      <c r="B42" s="764"/>
      <c r="C42" s="765"/>
      <c r="D42" s="788"/>
      <c r="E42" s="757" t="s">
        <v>1586</v>
      </c>
      <c r="F42" s="767">
        <f ca="1">INDIRECT("'数据-取费表'!v"&amp;$G$1)</f>
        <v>2.5000000000000001E-2</v>
      </c>
      <c r="G42" s="1899"/>
      <c r="H42" s="1854"/>
      <c r="I42" s="819" t="s">
        <v>1621</v>
      </c>
      <c r="J42" s="817">
        <f ca="1">ROUND(C13/C40,3)</f>
        <v>2.452</v>
      </c>
      <c r="K42" s="1918"/>
      <c r="L42" s="1854"/>
      <c r="M42" s="1854"/>
    </row>
    <row r="43" spans="1:18" ht="18" customHeight="1" thickBot="1">
      <c r="A43" s="795" t="s">
        <v>1587</v>
      </c>
      <c r="B43" s="796" t="s">
        <v>1610</v>
      </c>
      <c r="C43" s="797">
        <f ca="1">ROUND(C40*10000/F43,0)</f>
        <v>1678</v>
      </c>
      <c r="D43" s="798" t="s">
        <v>1611</v>
      </c>
      <c r="E43" s="799" t="s">
        <v>1612</v>
      </c>
      <c r="F43" s="800">
        <f ca="1">INDIRECT("'数据-取费表'!k"&amp;$G$1)</f>
        <v>62819.43</v>
      </c>
      <c r="G43" s="1899"/>
      <c r="H43" s="1854">
        <f ca="1">F43/F7</f>
        <v>35.692857954545453</v>
      </c>
      <c r="I43" s="819" t="s">
        <v>1622</v>
      </c>
      <c r="J43" s="820">
        <f ca="1">1-J42</f>
        <v>-1.452</v>
      </c>
      <c r="K43" s="1918"/>
      <c r="L43" s="1854"/>
      <c r="M43" s="1854"/>
    </row>
    <row r="44" spans="1:18" s="1896" customFormat="1" ht="18" customHeight="1">
      <c r="A44" s="1921"/>
      <c r="B44" s="1921"/>
      <c r="C44" s="1938"/>
      <c r="D44" s="1921"/>
      <c r="E44" s="1921"/>
      <c r="F44" s="1921"/>
      <c r="H44" s="1896">
        <f ca="1">C40/F7</f>
        <v>5.990340909090909</v>
      </c>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-13172</v>
      </c>
      <c r="D46" s="3170"/>
      <c r="E46" s="3170"/>
      <c r="F46" s="3170"/>
      <c r="I46" s="2187" t="s">
        <v>2129</v>
      </c>
      <c r="J46" s="2188"/>
      <c r="K46" s="2189"/>
      <c r="L46" s="2729">
        <f>IF(OR(M47="住宅",D1="土地（套用方法）"),0,IF(L48&gt;J51,L60,J60))</f>
        <v>0</v>
      </c>
      <c r="M46" s="3171"/>
      <c r="O46" s="2203" t="s">
        <v>2196</v>
      </c>
      <c r="P46" s="1482"/>
      <c r="Q46" s="1490"/>
      <c r="R46" s="1482"/>
    </row>
    <row r="47" spans="1:18" s="1896" customFormat="1" ht="18" customHeight="1" thickBot="1">
      <c r="A47" s="2181">
        <v>1</v>
      </c>
      <c r="B47" s="2182" t="s">
        <v>617</v>
      </c>
      <c r="C47" s="2348">
        <f ca="1">C48+C52+C54</f>
        <v>0</v>
      </c>
      <c r="D47" s="3170"/>
      <c r="E47" s="3170"/>
      <c r="F47" s="3170"/>
      <c r="I47" s="2720" t="s">
        <v>2130</v>
      </c>
      <c r="J47" s="2190" t="s">
        <v>3379</v>
      </c>
      <c r="K47" s="2726" t="s">
        <v>2135</v>
      </c>
      <c r="L47" s="2730">
        <f ca="1">INDIRECT("'数据-取费表'!d"&amp;$G$1)</f>
        <v>40</v>
      </c>
      <c r="M47" s="1490" t="str">
        <f>IF(ISNUMBER(FIND("住宅",C1)),"住宅","非住宅")</f>
        <v>非住宅</v>
      </c>
      <c r="O47" s="2204" t="s">
        <v>2161</v>
      </c>
      <c r="P47" s="2205" t="s">
        <v>2162</v>
      </c>
      <c r="Q47" s="2206" t="s">
        <v>2163</v>
      </c>
      <c r="R47" s="2205" t="s">
        <v>2164</v>
      </c>
    </row>
    <row r="48" spans="1:18" s="1896" customFormat="1" ht="18" customHeight="1" thickBot="1">
      <c r="A48" s="2406" t="s">
        <v>1666</v>
      </c>
      <c r="B48" s="2407" t="s">
        <v>2255</v>
      </c>
      <c r="C48" s="2183">
        <f ca="1">ROUND(F48*F50*F49*(1-F51)/10000,0)</f>
        <v>0</v>
      </c>
      <c r="D48" s="2184" t="s">
        <v>618</v>
      </c>
      <c r="E48" s="2185" t="s">
        <v>2086</v>
      </c>
      <c r="F48" s="2186"/>
      <c r="G48" s="1926"/>
      <c r="I48" s="2717" t="s">
        <v>2131</v>
      </c>
      <c r="J48" s="2191" t="s">
        <v>2136</v>
      </c>
      <c r="K48" s="2727" t="s">
        <v>2137</v>
      </c>
      <c r="L48" s="1777">
        <f ca="1">INDIRECT("'数据-取费表'!f"&amp;$G$1)</f>
        <v>38.31</v>
      </c>
      <c r="M48" s="3171"/>
      <c r="O48" s="2207" t="s">
        <v>2165</v>
      </c>
      <c r="P48" s="2208" t="s">
        <v>2191</v>
      </c>
      <c r="Q48" s="2209">
        <f ca="1">C40+J29</f>
        <v>10543</v>
      </c>
      <c r="R48" s="2208" t="s">
        <v>2166</v>
      </c>
    </row>
    <row r="49" spans="1:18" s="1896" customFormat="1" ht="18" customHeight="1" thickBot="1">
      <c r="A49" s="759"/>
      <c r="B49" s="760"/>
      <c r="C49" s="761"/>
      <c r="D49" s="762"/>
      <c r="E49" s="757" t="s">
        <v>620</v>
      </c>
      <c r="F49" s="758">
        <f ca="1">F7</f>
        <v>1760</v>
      </c>
      <c r="G49" s="1926"/>
      <c r="H49" s="1929"/>
      <c r="I49" s="2717" t="s">
        <v>2132</v>
      </c>
      <c r="J49" s="2192">
        <v>2024</v>
      </c>
      <c r="K49" s="2728" t="s">
        <v>2138</v>
      </c>
      <c r="L49" s="2193"/>
      <c r="M49" s="3171"/>
      <c r="O49" s="2207" t="s">
        <v>2167</v>
      </c>
      <c r="P49" s="2208" t="s">
        <v>2192</v>
      </c>
      <c r="Q49" s="2209" t="str">
        <f ca="1">J60</f>
        <v>0</v>
      </c>
      <c r="R49" s="2208" t="s">
        <v>2168</v>
      </c>
    </row>
    <row r="50" spans="1:18" s="1896" customFormat="1" ht="18" customHeight="1" thickBot="1">
      <c r="A50" s="759"/>
      <c r="B50" s="760"/>
      <c r="C50" s="761"/>
      <c r="D50" s="762"/>
      <c r="E50" s="757" t="s">
        <v>1540</v>
      </c>
      <c r="F50" s="758">
        <f ca="1">F8</f>
        <v>12</v>
      </c>
      <c r="G50" s="1931"/>
      <c r="H50" s="1929"/>
      <c r="I50" s="2717" t="s">
        <v>2133</v>
      </c>
      <c r="J50" s="2724">
        <f>SUMPRODUCT((I63:I65=J47)*(J62:L62=J48)*(J63:L65))</f>
        <v>60</v>
      </c>
      <c r="K50" s="2728" t="s">
        <v>2139</v>
      </c>
      <c r="L50" s="2193"/>
      <c r="M50" s="3171"/>
      <c r="O50" s="2210" t="s">
        <v>2169</v>
      </c>
      <c r="P50" s="2208" t="s">
        <v>2193</v>
      </c>
      <c r="Q50" s="2209">
        <f ca="1">C29</f>
        <v>25852</v>
      </c>
      <c r="R50" s="2208" t="s">
        <v>2166</v>
      </c>
    </row>
    <row r="51" spans="1:18" s="1896" customFormat="1" ht="18" customHeight="1" thickBot="1">
      <c r="A51" s="759"/>
      <c r="B51" s="760"/>
      <c r="C51" s="761"/>
      <c r="D51" s="762"/>
      <c r="E51" s="757" t="s">
        <v>622</v>
      </c>
      <c r="F51" s="2180"/>
      <c r="H51" s="1929"/>
      <c r="I51" s="2721" t="s">
        <v>2134</v>
      </c>
      <c r="J51" s="2725">
        <f>IF(J49="",J50,J49+J50-YEAR('数据-取费表'!B2))</f>
        <v>62</v>
      </c>
      <c r="K51" s="2717" t="s">
        <v>2140</v>
      </c>
      <c r="L51" s="2731">
        <f ca="1">ROUND(-PV(INDIRECT("'数据-取费表'!h"&amp;$G$1),J51,(C39-C13*J36),0),0)</f>
        <v>-33404</v>
      </c>
      <c r="M51" s="3171"/>
      <c r="O51" s="2210" t="s">
        <v>2170</v>
      </c>
      <c r="P51" s="2208" t="s">
        <v>2171</v>
      </c>
      <c r="Q51" s="2211" t="e">
        <f ca="1">J58</f>
        <v>#VALUE!</v>
      </c>
      <c r="R51" s="2212"/>
    </row>
    <row r="52" spans="1:18" s="1896" customFormat="1" ht="18" customHeight="1" thickBot="1">
      <c r="A52" s="754" t="s">
        <v>2253</v>
      </c>
      <c r="B52" s="2299" t="s">
        <v>2237</v>
      </c>
      <c r="C52" s="772">
        <f ca="1">ROUND(IF(F52="押一",C48/12*F11,IF(F52="押二",C48/12*2*F11,IF(F52="押三",C48/12*3*F11,C53*F11))),0)</f>
        <v>0</v>
      </c>
      <c r="D52" s="2306" t="s">
        <v>2669</v>
      </c>
      <c r="E52" s="2303" t="s">
        <v>2242</v>
      </c>
      <c r="F52" s="2387"/>
      <c r="I52" s="2722" t="s">
        <v>2207</v>
      </c>
      <c r="J52" s="2194">
        <v>8.5000000000000006E-2</v>
      </c>
      <c r="K52" s="2722" t="s">
        <v>2206</v>
      </c>
      <c r="L52" s="2194"/>
      <c r="M52" s="3171"/>
      <c r="O52" s="2210" t="s">
        <v>2172</v>
      </c>
      <c r="P52" s="2208" t="s">
        <v>2173</v>
      </c>
      <c r="Q52" s="2211">
        <f>J52</f>
        <v>8.5000000000000006E-2</v>
      </c>
      <c r="R52" s="2212"/>
    </row>
    <row r="53" spans="1:18" s="1896" customFormat="1" ht="39.75" customHeight="1" thickBot="1">
      <c r="A53" s="759"/>
      <c r="B53" s="2300" t="s">
        <v>2290</v>
      </c>
      <c r="C53" s="2304"/>
      <c r="D53" s="2306"/>
      <c r="E53" s="2303"/>
      <c r="F53" s="773"/>
      <c r="I53" s="2723" t="s">
        <v>2673</v>
      </c>
      <c r="J53" s="2776">
        <f ca="1">IF(M47="住宅",IF(D1="——",MAX(J51,L48),MAX(J51,L48-'数据-取费表'!B20)),IF(D1="——",MIN(J51,L48),MIN(J51,L48-'数据-取费表'!B20)))</f>
        <v>35.31</v>
      </c>
      <c r="K53" s="3843" t="s">
        <v>2663</v>
      </c>
      <c r="L53" s="3844"/>
      <c r="M53" s="3171"/>
      <c r="O53" s="2210" t="s">
        <v>2174</v>
      </c>
      <c r="P53" s="2208" t="s">
        <v>2175</v>
      </c>
      <c r="Q53" s="2209">
        <f ca="1">J53</f>
        <v>35.31</v>
      </c>
      <c r="R53" s="2208" t="s">
        <v>2176</v>
      </c>
    </row>
    <row r="54" spans="1:18" s="1896" customFormat="1" ht="18" customHeight="1" thickBot="1">
      <c r="A54" s="2313" t="s">
        <v>2245</v>
      </c>
      <c r="B54" s="2314" t="s">
        <v>2238</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2177</v>
      </c>
      <c r="P54" s="2208" t="s">
        <v>2194</v>
      </c>
      <c r="Q54" s="2209">
        <f ca="1">Q48+Q49</f>
        <v>10543</v>
      </c>
      <c r="R54" s="2212" t="s">
        <v>2178</v>
      </c>
    </row>
    <row r="55" spans="1:18" s="1896" customFormat="1" ht="18" customHeight="1" thickTop="1" thickBot="1">
      <c r="A55" s="770">
        <v>2</v>
      </c>
      <c r="B55" s="771" t="s">
        <v>626</v>
      </c>
      <c r="C55" s="772">
        <f ca="1">C13</f>
        <v>25852</v>
      </c>
      <c r="D55" s="768"/>
      <c r="E55" s="768"/>
      <c r="F55" s="773"/>
      <c r="I55" s="2734" t="s">
        <v>2141</v>
      </c>
      <c r="J55" s="2706" t="e">
        <f ca="1">ROUND(IF(J47="钢混",J57/J50,1-(1-2%)*(J50-J57)/J50),3)</f>
        <v>#VALUE!</v>
      </c>
      <c r="K55" s="2735" t="s">
        <v>2142</v>
      </c>
      <c r="L55" s="2195"/>
      <c r="M55" s="3171"/>
      <c r="O55" s="2213" t="s">
        <v>2197</v>
      </c>
      <c r="P55" s="1482"/>
      <c r="Q55" s="1490"/>
      <c r="R55" s="1482"/>
    </row>
    <row r="56" spans="1:18" s="1896" customFormat="1" ht="42.75" customHeight="1" thickBot="1">
      <c r="A56" s="1533"/>
      <c r="B56" s="2065" t="s">
        <v>2090</v>
      </c>
      <c r="C56" s="53">
        <f ca="1">C29</f>
        <v>25852</v>
      </c>
      <c r="D56" s="3447"/>
      <c r="E56" s="757"/>
      <c r="F56" s="782"/>
      <c r="I56" s="2736" t="s">
        <v>2143</v>
      </c>
      <c r="J56" s="2746" t="s">
        <v>1478</v>
      </c>
      <c r="K56" s="2717" t="s">
        <v>2148</v>
      </c>
      <c r="L56" s="1777" t="str">
        <f ca="1">IF(L48&lt;J51,"——",L48-J51)</f>
        <v>——</v>
      </c>
      <c r="M56" s="3171"/>
      <c r="O56" s="2204" t="s">
        <v>2161</v>
      </c>
      <c r="P56" s="2205" t="s">
        <v>2162</v>
      </c>
      <c r="Q56" s="2206" t="s">
        <v>2163</v>
      </c>
      <c r="R56" s="2205" t="s">
        <v>2164</v>
      </c>
    </row>
    <row r="57" spans="1:18" s="1896" customFormat="1" ht="28.5" customHeight="1" thickBot="1">
      <c r="A57" s="770" t="s">
        <v>1548</v>
      </c>
      <c r="B57" s="771" t="s">
        <v>633</v>
      </c>
      <c r="C57" s="772">
        <f ca="1">ROUND(C58+C63+C64+C65,0)</f>
        <v>160</v>
      </c>
      <c r="D57" s="26" t="s">
        <v>1550</v>
      </c>
      <c r="E57" s="3452"/>
      <c r="F57" s="56"/>
      <c r="I57" s="2737" t="s">
        <v>2144</v>
      </c>
      <c r="J57" s="2738" t="str">
        <f ca="1">IF(OR(M47="住宅",J51&lt;L48,J56="是"),"——",J51-L48)</f>
        <v>——</v>
      </c>
      <c r="K57" s="2717" t="s">
        <v>2149</v>
      </c>
      <c r="L57" s="1777" t="str">
        <f ca="1">IF(L48&lt;J51,"——",IF(L55="比较法",L49,IF(L55="基准地价",L50,L51)))</f>
        <v>——</v>
      </c>
      <c r="M57" s="3171"/>
      <c r="O57" s="2207" t="s">
        <v>2165</v>
      </c>
      <c r="P57" s="2208" t="s">
        <v>2191</v>
      </c>
      <c r="Q57" s="2209">
        <f ca="1">C40+J29</f>
        <v>10543</v>
      </c>
      <c r="R57" s="2208" t="s">
        <v>2166</v>
      </c>
    </row>
    <row r="58" spans="1:18" s="1896" customFormat="1" ht="28.5" customHeight="1" thickBot="1">
      <c r="A58" s="1532" t="s">
        <v>1624</v>
      </c>
      <c r="B58" s="757" t="s">
        <v>638</v>
      </c>
      <c r="C58" s="2927">
        <f ca="1">ROUND(IF(AND(项目基本情况!B11="自然人",项目基本情况!B10="北京市"),C48*F58/(1+'数据-取费表'!C42),C59+C60+C61),0)</f>
        <v>5</v>
      </c>
      <c r="D58" s="3448" t="s">
        <v>639</v>
      </c>
      <c r="E58" s="3447" t="s">
        <v>672</v>
      </c>
      <c r="F58" s="2926" t="str">
        <f>IF(项目基本情况!B11="企业","——",IF('数据-取费表'!B10="住宅",IF(F48*F49*F50/12/(1+'数据-取费表'!F30)&gt;100000,4%,2.5%),IF(F48*F49*F50/12/(1+'数据-取费表'!F30)&gt;100000,12%,7%)))</f>
        <v>——</v>
      </c>
      <c r="I58" s="2737" t="s">
        <v>2145</v>
      </c>
      <c r="J58" s="2707" t="e">
        <f ca="1">IF(J55&lt;0.4,0.4,J55)</f>
        <v>#VALUE!</v>
      </c>
      <c r="K58" s="2717" t="s">
        <v>2150</v>
      </c>
      <c r="L58" s="1777" t="e">
        <f ca="1">ROUND(POWER(1+L52,L47-L48)*(POWER(1+L52,L48)-1)/(POWER(1+L52,L47)-1),4)</f>
        <v>#DIV/0!</v>
      </c>
      <c r="M58" s="3171"/>
      <c r="O58" s="2207" t="s">
        <v>2167</v>
      </c>
      <c r="P58" s="2208" t="s">
        <v>2198</v>
      </c>
      <c r="Q58" s="2209">
        <f ca="1">L60</f>
        <v>0</v>
      </c>
      <c r="R58" s="2212" t="s">
        <v>2200</v>
      </c>
    </row>
    <row r="59" spans="1:18" s="1896" customFormat="1" ht="28.5" customHeight="1" thickBot="1">
      <c r="A59" s="1531" t="s">
        <v>1631</v>
      </c>
      <c r="B59" s="757" t="s">
        <v>642</v>
      </c>
      <c r="C59" s="53">
        <f ca="1">ROUND(C47*F59/1.05,1)</f>
        <v>0</v>
      </c>
      <c r="D59" s="3447" t="s">
        <v>1556</v>
      </c>
      <c r="E59" s="757" t="s">
        <v>1547</v>
      </c>
      <c r="F59" s="782">
        <f t="shared" ref="F59:F65" si="0">F32</f>
        <v>5.6000000000000001E-2</v>
      </c>
      <c r="I59" s="2737" t="s">
        <v>2146</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2169</v>
      </c>
      <c r="P59" s="2208" t="s">
        <v>2199</v>
      </c>
      <c r="Q59" s="2209">
        <f>IF(L55="比较法",L49,IF(L55="基准地价",L50,0))</f>
        <v>0</v>
      </c>
      <c r="R59" s="2208" t="s">
        <v>2166</v>
      </c>
    </row>
    <row r="60" spans="1:18" s="1896" customFormat="1" ht="18" customHeight="1" thickBot="1">
      <c r="A60" s="1531" t="s">
        <v>1632</v>
      </c>
      <c r="B60" s="757" t="s">
        <v>646</v>
      </c>
      <c r="C60" s="53">
        <f ca="1">IF(D60="按租金收入计税",ROUND(C48*F60/(1+'数据-取费表'!C42),1),IF(D60="按房产原值计税",ROUND(C56*F60*0.7,1),INDIRECT("'数据-取费表'!Aj"&amp;$G$1)))</f>
        <v>0</v>
      </c>
      <c r="D60" s="3447" t="str">
        <f>D33</f>
        <v>按租金收入计税</v>
      </c>
      <c r="E60" s="757" t="s">
        <v>1547</v>
      </c>
      <c r="F60" s="782">
        <f t="shared" si="0"/>
        <v>0.12</v>
      </c>
      <c r="I60" s="2739" t="s">
        <v>2147</v>
      </c>
      <c r="J60" s="2740" t="str">
        <f ca="1">IF(OR(M47="住宅",J51&lt;L48,J56="是"),"0",ROUND(J59/(1+J52)^J53,0))</f>
        <v>0</v>
      </c>
      <c r="K60" s="2741" t="s">
        <v>2152</v>
      </c>
      <c r="L60" s="2740">
        <f ca="1">IF(OR(M47="住宅",L48&lt;J51),0,ROUND(L57*(L58/L59-1),0))</f>
        <v>0</v>
      </c>
      <c r="M60" s="3171"/>
      <c r="O60" s="2210" t="s">
        <v>2170</v>
      </c>
      <c r="P60" s="2208" t="s">
        <v>2179</v>
      </c>
      <c r="Q60" s="2211">
        <f>L52</f>
        <v>0</v>
      </c>
      <c r="R60" s="2212"/>
    </row>
    <row r="61" spans="1:18" s="1896" customFormat="1" ht="18" customHeight="1" thickBot="1">
      <c r="A61" s="1534" t="s">
        <v>1633</v>
      </c>
      <c r="B61" s="339" t="s">
        <v>650</v>
      </c>
      <c r="C61" s="54">
        <f ca="1">ROUND(F61*F62/10000,1)</f>
        <v>5.0999999999999996</v>
      </c>
      <c r="D61" s="786" t="s">
        <v>651</v>
      </c>
      <c r="E61" s="757" t="s">
        <v>652</v>
      </c>
      <c r="F61" s="615">
        <f t="shared" si="0"/>
        <v>5</v>
      </c>
      <c r="K61" s="1922"/>
      <c r="O61" s="2210" t="s">
        <v>2172</v>
      </c>
      <c r="P61" s="2208" t="s">
        <v>2180</v>
      </c>
      <c r="Q61" s="2209" t="e">
        <f ca="1">L58</f>
        <v>#DIV/0!</v>
      </c>
      <c r="R61" s="2212" t="s">
        <v>2181</v>
      </c>
    </row>
    <row r="62" spans="1:18" s="1896" customFormat="1" ht="15.75" thickBot="1">
      <c r="A62" s="787"/>
      <c r="B62" s="766"/>
      <c r="C62" s="69"/>
      <c r="D62" s="788"/>
      <c r="E62" s="757" t="s">
        <v>656</v>
      </c>
      <c r="F62" s="758">
        <f t="shared" ca="1" si="0"/>
        <v>10274.26</v>
      </c>
      <c r="I62" s="2742" t="s">
        <v>2153</v>
      </c>
      <c r="J62" s="2743" t="s">
        <v>2154</v>
      </c>
      <c r="K62" s="2743" t="s">
        <v>2155</v>
      </c>
      <c r="L62" s="2743" t="s">
        <v>2136</v>
      </c>
      <c r="M62" s="2744" t="s">
        <v>2642</v>
      </c>
      <c r="O62" s="2210" t="s">
        <v>2174</v>
      </c>
      <c r="P62" s="2208" t="str">
        <f>K59</f>
        <v>建设期及建筑物耐用年限下的土地年期修正系数Kn</v>
      </c>
      <c r="Q62" s="2209" t="e">
        <f ca="1">L59</f>
        <v>#DIV/0!</v>
      </c>
      <c r="R62" s="2212" t="s">
        <v>2183</v>
      </c>
    </row>
    <row r="63" spans="1:18" s="1896" customFormat="1" ht="15.75" thickBot="1">
      <c r="A63" s="1532" t="s">
        <v>1685</v>
      </c>
      <c r="B63" s="757" t="s">
        <v>658</v>
      </c>
      <c r="C63" s="53">
        <f ca="1">ROUND(C56*F63,1)</f>
        <v>129.30000000000001</v>
      </c>
      <c r="D63" s="3447" t="s">
        <v>1603</v>
      </c>
      <c r="E63" s="757" t="s">
        <v>1547</v>
      </c>
      <c r="F63" s="789">
        <f t="shared" ca="1" si="0"/>
        <v>5.0000000000000001E-3</v>
      </c>
      <c r="I63" s="2742" t="s">
        <v>2156</v>
      </c>
      <c r="J63" s="2743">
        <v>70</v>
      </c>
      <c r="K63" s="2743">
        <v>50</v>
      </c>
      <c r="L63" s="2743">
        <v>80</v>
      </c>
      <c r="M63" s="2745">
        <v>0.02</v>
      </c>
      <c r="O63" s="2207" t="s">
        <v>2177</v>
      </c>
      <c r="P63" s="2208" t="s">
        <v>2194</v>
      </c>
      <c r="Q63" s="2209">
        <f ca="1">Q57+Q58</f>
        <v>10543</v>
      </c>
      <c r="R63" s="2212" t="s">
        <v>2178</v>
      </c>
    </row>
    <row r="64" spans="1:18" s="1896" customFormat="1" ht="16.5" thickBot="1">
      <c r="A64" s="1532" t="s">
        <v>1686</v>
      </c>
      <c r="B64" s="757" t="s">
        <v>661</v>
      </c>
      <c r="C64" s="53">
        <f ca="1">ROUND(C55*F64,1)</f>
        <v>25.9</v>
      </c>
      <c r="D64" s="3447" t="s">
        <v>662</v>
      </c>
      <c r="E64" s="757" t="s">
        <v>1547</v>
      </c>
      <c r="F64" s="790">
        <f t="shared" ca="1" si="0"/>
        <v>1E-3</v>
      </c>
      <c r="I64" s="2742" t="s">
        <v>2157</v>
      </c>
      <c r="J64" s="2743">
        <v>50</v>
      </c>
      <c r="K64" s="2743">
        <v>35</v>
      </c>
      <c r="L64" s="2743">
        <v>60</v>
      </c>
      <c r="M64" s="818">
        <v>0</v>
      </c>
      <c r="O64" s="2213" t="s">
        <v>2201</v>
      </c>
      <c r="P64" s="1482"/>
      <c r="Q64" s="1490"/>
      <c r="R64" s="1482"/>
    </row>
    <row r="65" spans="1:18" s="1896" customFormat="1" ht="15.75" thickBot="1">
      <c r="A65" s="1532" t="s">
        <v>1687</v>
      </c>
      <c r="B65" s="757" t="s">
        <v>648</v>
      </c>
      <c r="C65" s="53">
        <f ca="1">ROUND(C47*F65,1)</f>
        <v>0</v>
      </c>
      <c r="D65" s="3447" t="s">
        <v>665</v>
      </c>
      <c r="E65" s="757" t="s">
        <v>1547</v>
      </c>
      <c r="F65" s="767">
        <f t="shared" ca="1" si="0"/>
        <v>1.4999999999999999E-2</v>
      </c>
      <c r="I65" s="2742" t="s">
        <v>2158</v>
      </c>
      <c r="J65" s="2743">
        <v>40</v>
      </c>
      <c r="K65" s="2743">
        <v>30</v>
      </c>
      <c r="L65" s="2743">
        <v>50</v>
      </c>
      <c r="M65" s="2745">
        <v>0.02</v>
      </c>
      <c r="O65" s="2204" t="s">
        <v>2161</v>
      </c>
      <c r="P65" s="2205" t="s">
        <v>2162</v>
      </c>
      <c r="Q65" s="2206" t="s">
        <v>2163</v>
      </c>
      <c r="R65" s="2205" t="s">
        <v>2164</v>
      </c>
    </row>
    <row r="66" spans="1:18" s="1896" customFormat="1" ht="24.75" thickBot="1">
      <c r="A66" s="770" t="s">
        <v>1576</v>
      </c>
      <c r="B66" s="2645" t="s">
        <v>2537</v>
      </c>
      <c r="C66" s="772">
        <f ca="1">C47-C57</f>
        <v>-160</v>
      </c>
      <c r="D66" s="3448" t="s">
        <v>682</v>
      </c>
      <c r="E66" s="3451"/>
      <c r="F66" s="792"/>
      <c r="K66" s="1922"/>
      <c r="O66" s="2207" t="s">
        <v>2165</v>
      </c>
      <c r="P66" s="2208" t="s">
        <v>2191</v>
      </c>
      <c r="Q66" s="2209">
        <f ca="1">C40+J29</f>
        <v>10543</v>
      </c>
      <c r="R66" s="2208" t="s">
        <v>2166</v>
      </c>
    </row>
    <row r="67" spans="1:18" s="1896" customFormat="1" ht="20.25" thickBot="1">
      <c r="A67" s="754" t="s">
        <v>1580</v>
      </c>
      <c r="B67" s="2066" t="s">
        <v>2091</v>
      </c>
      <c r="C67" s="756">
        <f ca="1">ROUND(C66*(1-((1+F69)/(1+F67))^F68)/(F67-F69),0)</f>
        <v>-2629</v>
      </c>
      <c r="D67" s="786" t="s">
        <v>686</v>
      </c>
      <c r="E67" s="757" t="s">
        <v>687</v>
      </c>
      <c r="F67" s="767">
        <f ca="1">F40</f>
        <v>0.05</v>
      </c>
      <c r="K67" s="1922"/>
      <c r="O67" s="2207" t="s">
        <v>2167</v>
      </c>
      <c r="P67" s="2208" t="s">
        <v>2198</v>
      </c>
      <c r="Q67" s="2209">
        <f ca="1">L60</f>
        <v>0</v>
      </c>
      <c r="R67" s="2212" t="s">
        <v>2200</v>
      </c>
    </row>
    <row r="68" spans="1:18" ht="21.75" thickBot="1">
      <c r="A68" s="759"/>
      <c r="B68" s="760"/>
      <c r="C68" s="761"/>
      <c r="D68" s="793" t="s">
        <v>1608</v>
      </c>
      <c r="E68" s="757" t="s">
        <v>1584</v>
      </c>
      <c r="F68" s="794">
        <f ca="1">F41</f>
        <v>35.31</v>
      </c>
      <c r="O68" s="2210" t="s">
        <v>2169</v>
      </c>
      <c r="P68" s="2208" t="s">
        <v>2199</v>
      </c>
      <c r="Q68" s="2214">
        <f ca="1">L51</f>
        <v>-33404</v>
      </c>
      <c r="R68" s="2215" t="s">
        <v>2202</v>
      </c>
    </row>
    <row r="69" spans="1:18" ht="20.25" thickBot="1">
      <c r="A69" s="763"/>
      <c r="B69" s="764"/>
      <c r="C69" s="765"/>
      <c r="D69" s="788"/>
      <c r="E69" s="757" t="s">
        <v>692</v>
      </c>
      <c r="F69" s="2180"/>
      <c r="O69" s="2210" t="s">
        <v>2170</v>
      </c>
      <c r="P69" s="2216" t="s">
        <v>2184</v>
      </c>
      <c r="Q69" s="2209">
        <f ca="1">ROUND(Q70-Q71*Q72,0)</f>
        <v>-1608</v>
      </c>
      <c r="R69" s="2212"/>
    </row>
    <row r="70" spans="1:18" ht="15.75" thickBot="1">
      <c r="A70" s="795" t="s">
        <v>1587</v>
      </c>
      <c r="B70" s="796" t="s">
        <v>1610</v>
      </c>
      <c r="C70" s="797">
        <f ca="1">ROUND(C67*10000/F70,0)</f>
        <v>-419</v>
      </c>
      <c r="D70" s="798" t="s">
        <v>1611</v>
      </c>
      <c r="E70" s="799" t="s">
        <v>1612</v>
      </c>
      <c r="F70" s="800">
        <f ca="1">F43</f>
        <v>62819.43</v>
      </c>
      <c r="O70" s="2210" t="s">
        <v>2185</v>
      </c>
      <c r="P70" s="2216" t="s">
        <v>2186</v>
      </c>
      <c r="Q70" s="2209">
        <f ca="1">C39</f>
        <v>460</v>
      </c>
      <c r="R70" s="2208" t="s">
        <v>2166</v>
      </c>
    </row>
    <row r="71" spans="1:18" ht="15.75" thickBot="1">
      <c r="O71" s="2210" t="s">
        <v>2187</v>
      </c>
      <c r="P71" s="2216" t="s">
        <v>2188</v>
      </c>
      <c r="Q71" s="2209">
        <f ca="1">C13</f>
        <v>25852</v>
      </c>
      <c r="R71" s="2208" t="s">
        <v>2166</v>
      </c>
    </row>
    <row r="72" spans="1:18" ht="15.75" thickBot="1">
      <c r="O72" s="2210" t="s">
        <v>2189</v>
      </c>
      <c r="P72" s="2216" t="s">
        <v>2190</v>
      </c>
      <c r="Q72" s="2211">
        <f ca="1">J36</f>
        <v>0.08</v>
      </c>
      <c r="R72" s="2212"/>
    </row>
    <row r="73" spans="1:18" ht="15.75" thickBot="1">
      <c r="O73" s="2210" t="s">
        <v>2172</v>
      </c>
      <c r="P73" s="2208" t="s">
        <v>2179</v>
      </c>
      <c r="Q73" s="2211">
        <f>L52</f>
        <v>0</v>
      </c>
      <c r="R73" s="2212"/>
    </row>
    <row r="74" spans="1:18" ht="20.25" thickBot="1">
      <c r="O74" s="2210" t="s">
        <v>2174</v>
      </c>
      <c r="P74" s="2208" t="s">
        <v>2180</v>
      </c>
      <c r="Q74" s="2209" t="e">
        <f ca="1">L58</f>
        <v>#DIV/0!</v>
      </c>
      <c r="R74" s="2212" t="s">
        <v>2181</v>
      </c>
    </row>
    <row r="75" spans="1:18" ht="15.75" thickBot="1">
      <c r="O75" s="2210" t="s">
        <v>2203</v>
      </c>
      <c r="P75" s="2208" t="str">
        <f>K59</f>
        <v>建设期及建筑物耐用年限下的土地年期修正系数Kn</v>
      </c>
      <c r="Q75" s="2209" t="e">
        <f ca="1">L59</f>
        <v>#DIV/0!</v>
      </c>
      <c r="R75" s="2212" t="s">
        <v>2183</v>
      </c>
    </row>
    <row r="76" spans="1:18" ht="15.75" thickBot="1">
      <c r="O76" s="2207" t="s">
        <v>2177</v>
      </c>
      <c r="P76" s="2208" t="s">
        <v>2194</v>
      </c>
      <c r="Q76" s="2209">
        <f ca="1">Q66+Q67</f>
        <v>10543</v>
      </c>
      <c r="R76" s="2212" t="s">
        <v>2178</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60" zoomScaleSheetLayoutView="85" workbookViewId="0">
      <selection activeCell="K42" sqref="K42"/>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3120</v>
      </c>
      <c r="D1" s="2716" t="s">
        <v>3376</v>
      </c>
      <c r="E1" s="2196" t="s">
        <v>2160</v>
      </c>
      <c r="F1" s="2197">
        <f ca="1">J53</f>
        <v>35.31</v>
      </c>
      <c r="G1" s="3167">
        <f>MATCH(C1,'数据-取费表'!A6:A16,0)+5</f>
        <v>7</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2336</v>
      </c>
      <c r="C2" s="3172"/>
      <c r="D2" s="3173"/>
      <c r="E2" s="3174"/>
      <c r="F2" s="3174"/>
      <c r="G2" s="3168"/>
      <c r="H2" s="1894"/>
      <c r="I2" s="1894"/>
      <c r="J2" s="1894"/>
      <c r="K2" s="1895"/>
      <c r="L2" s="1894"/>
      <c r="M2" s="1894"/>
    </row>
    <row r="3" spans="1:33" ht="18" customHeight="1" thickBot="1">
      <c r="A3" s="805" t="s">
        <v>1527</v>
      </c>
      <c r="B3" s="806">
        <f ca="1">IF(ISERROR(B2*10000/F43),0,ROUND(B2*10000/F43,0))</f>
        <v>24921</v>
      </c>
      <c r="C3" s="3172"/>
      <c r="D3" s="3173"/>
      <c r="E3" s="3174"/>
      <c r="F3" s="3174"/>
      <c r="G3" s="3168"/>
      <c r="H3" s="749" t="s">
        <v>677</v>
      </c>
      <c r="I3" s="1271"/>
      <c r="J3" s="1271"/>
      <c r="K3" s="1481"/>
      <c r="L3" s="1271"/>
      <c r="M3" s="1271"/>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2236</v>
      </c>
      <c r="C5" s="55">
        <f ca="1">C6+C10+C12</f>
        <v>145</v>
      </c>
      <c r="D5" s="2301" t="s">
        <v>2239</v>
      </c>
      <c r="E5" s="2295"/>
      <c r="F5" s="2296"/>
      <c r="G5" s="1899"/>
      <c r="H5" s="754">
        <v>1</v>
      </c>
      <c r="I5" s="755" t="s">
        <v>2236</v>
      </c>
      <c r="J5" s="55">
        <f ca="1">J6+J10+J12</f>
        <v>0</v>
      </c>
      <c r="K5" s="2301" t="s">
        <v>2239</v>
      </c>
      <c r="L5" s="2295"/>
      <c r="M5" s="2296"/>
    </row>
    <row r="6" spans="1:33" ht="18" customHeight="1">
      <c r="A6" s="1700" t="s">
        <v>1624</v>
      </c>
      <c r="B6" s="3837" t="s">
        <v>2241</v>
      </c>
      <c r="C6" s="756">
        <f ca="1">ROUND(F6*F8*F7*(1-F9)/10000,0)</f>
        <v>145</v>
      </c>
      <c r="D6" s="2302" t="s">
        <v>2240</v>
      </c>
      <c r="E6" s="757" t="s">
        <v>1538</v>
      </c>
      <c r="F6" s="758">
        <f ca="1">INDIRECT("'数据-取费表'!u"&amp;$G$1)</f>
        <v>4.7</v>
      </c>
      <c r="G6" s="1899"/>
      <c r="H6" s="2309" t="s">
        <v>2246</v>
      </c>
      <c r="I6" s="3837" t="s">
        <v>2241</v>
      </c>
      <c r="J6" s="756">
        <f ca="1">ROUND(M6*M8*M7*(1-M9)/10000,0)</f>
        <v>0</v>
      </c>
      <c r="K6" s="339" t="s">
        <v>1537</v>
      </c>
      <c r="L6" s="757" t="s">
        <v>1538</v>
      </c>
      <c r="M6" s="758">
        <f ca="1">INDIRECT("'数据-取费表'!z"&amp;$G$1)</f>
        <v>0</v>
      </c>
    </row>
    <row r="7" spans="1:33" ht="18" customHeight="1">
      <c r="A7" s="2305"/>
      <c r="B7" s="3838"/>
      <c r="C7" s="761"/>
      <c r="D7" s="762"/>
      <c r="E7" s="757" t="s">
        <v>1539</v>
      </c>
      <c r="F7" s="758">
        <f ca="1">IF(INDIRECT("'数据-取费表'!ah"&amp;$G$1)="",INDIRECT("'数据-取费表'!k"&amp;$G$1),INDIRECT("'数据-取费表'!ah"&amp;$G$1))</f>
        <v>937.37</v>
      </c>
      <c r="G7" s="1899"/>
      <c r="H7" s="2294"/>
      <c r="I7" s="3838"/>
      <c r="J7" s="761"/>
      <c r="K7" s="762"/>
      <c r="L7" s="757" t="s">
        <v>1539</v>
      </c>
      <c r="M7" s="758">
        <f ca="1">F7</f>
        <v>937.37</v>
      </c>
    </row>
    <row r="8" spans="1:33" ht="18" customHeight="1">
      <c r="A8" s="2298"/>
      <c r="B8" s="3839"/>
      <c r="C8" s="761"/>
      <c r="D8" s="762"/>
      <c r="E8" s="757" t="s">
        <v>1540</v>
      </c>
      <c r="F8" s="758">
        <f ca="1">INDIRECT("'数据-取费表'!ai"&amp;$G$1)</f>
        <v>365</v>
      </c>
      <c r="G8" s="1899"/>
      <c r="H8" s="2294"/>
      <c r="I8" s="3839"/>
      <c r="J8" s="761"/>
      <c r="K8" s="762"/>
      <c r="L8" s="757" t="s">
        <v>1540</v>
      </c>
      <c r="M8" s="758">
        <f ca="1">INDIRECT("'数据-取费表'!ai"&amp;$G$1)</f>
        <v>365</v>
      </c>
    </row>
    <row r="9" spans="1:33" ht="18" customHeight="1">
      <c r="A9" s="759"/>
      <c r="B9" s="3840"/>
      <c r="C9" s="761"/>
      <c r="D9" s="762"/>
      <c r="E9" s="757" t="s">
        <v>1541</v>
      </c>
      <c r="F9" s="767">
        <f ca="1">INDIRECT("'数据-取费表'!w"&amp;$G$1)</f>
        <v>0.1</v>
      </c>
      <c r="G9" s="1899"/>
      <c r="H9" s="2310"/>
      <c r="I9" s="3839"/>
      <c r="J9" s="761"/>
      <c r="K9" s="762"/>
      <c r="L9" s="768" t="s">
        <v>1541</v>
      </c>
      <c r="M9" s="769">
        <f ca="1">INDIRECT("'数据-取费表'!ab"&amp;$G$1)</f>
        <v>0</v>
      </c>
    </row>
    <row r="10" spans="1:33" ht="18" customHeight="1">
      <c r="A10" s="1700" t="s">
        <v>2244</v>
      </c>
      <c r="B10" s="2299" t="s">
        <v>2237</v>
      </c>
      <c r="C10" s="772">
        <f ca="1">ROUND(IF(F10="押一",C6/12*F11,IF(F10="押二",C6/12*2*F11,IF(F10="押三",C6/12*3*F11,C11*F11))),0)</f>
        <v>0</v>
      </c>
      <c r="D10" s="2306" t="s">
        <v>2669</v>
      </c>
      <c r="E10" s="2303" t="s">
        <v>2242</v>
      </c>
      <c r="F10" s="2387" t="s">
        <v>3377</v>
      </c>
      <c r="G10" s="1899"/>
      <c r="H10" s="2337" t="s">
        <v>2247</v>
      </c>
      <c r="I10" s="2342" t="s">
        <v>2237</v>
      </c>
      <c r="J10" s="756">
        <f ca="1">ROUND(IF(M10="押一",J6/12*M11,IF(M10="押二",J6/12*2*M11,IF(M10="押三",J6/12*3*M11,J11*M11))),0)</f>
        <v>0</v>
      </c>
      <c r="K10" s="2306" t="s">
        <v>2669</v>
      </c>
      <c r="L10" s="2303" t="s">
        <v>2242</v>
      </c>
      <c r="M10" s="2387"/>
    </row>
    <row r="11" spans="1:33" ht="18" customHeight="1">
      <c r="A11" s="763"/>
      <c r="B11" s="2300" t="s">
        <v>2290</v>
      </c>
      <c r="C11" s="2304"/>
      <c r="D11" s="762"/>
      <c r="E11" s="2303" t="s">
        <v>2243</v>
      </c>
      <c r="F11" s="769">
        <f ca="1">'数据-取费表'!B39</f>
        <v>1.4999999999999999E-2</v>
      </c>
      <c r="G11" s="1899"/>
      <c r="H11" s="2338"/>
      <c r="I11" s="2300" t="s">
        <v>2290</v>
      </c>
      <c r="J11" s="2304"/>
      <c r="K11" s="2339"/>
      <c r="L11" s="2303" t="s">
        <v>2243</v>
      </c>
      <c r="M11" s="2297">
        <f ca="1">'数据-取费表'!B39</f>
        <v>1.4999999999999999E-2</v>
      </c>
    </row>
    <row r="12" spans="1:33" ht="18" customHeight="1" thickBot="1">
      <c r="A12" s="2313" t="s">
        <v>2245</v>
      </c>
      <c r="B12" s="2314" t="s">
        <v>2238</v>
      </c>
      <c r="C12" s="2315"/>
      <c r="D12" s="2316"/>
      <c r="E12" s="2317"/>
      <c r="F12" s="2318"/>
      <c r="G12" s="1899"/>
      <c r="H12" s="2327" t="s">
        <v>2248</v>
      </c>
      <c r="I12" s="2340" t="s">
        <v>2238</v>
      </c>
      <c r="J12" s="2341"/>
      <c r="K12" s="2316"/>
      <c r="L12" s="2317"/>
      <c r="M12" s="2330"/>
    </row>
    <row r="13" spans="1:33" ht="18" customHeight="1" thickTop="1">
      <c r="A13" s="1699">
        <v>2</v>
      </c>
      <c r="B13" s="1697" t="s">
        <v>1542</v>
      </c>
      <c r="C13" s="765">
        <f ca="1">ROUND(C29*F13,0)</f>
        <v>462</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7" t="s">
        <v>627</v>
      </c>
      <c r="C14" s="777">
        <f ca="1">INDIRECT("'数据-取费表'!m"&amp;$G$1)+INDIRECT("'数据-取费表'!t"&amp;$G$1)</f>
        <v>285</v>
      </c>
      <c r="D14" s="1847" t="s">
        <v>1545</v>
      </c>
      <c r="E14" s="1848"/>
      <c r="F14" s="778"/>
      <c r="G14" s="1899"/>
      <c r="H14" s="1532" t="s">
        <v>1630</v>
      </c>
      <c r="I14" s="2065" t="s">
        <v>2541</v>
      </c>
      <c r="J14" s="53">
        <f ca="1">C29</f>
        <v>462</v>
      </c>
      <c r="K14" s="26"/>
      <c r="L14" s="774"/>
      <c r="M14" s="775"/>
    </row>
    <row r="15" spans="1:33" s="1901" customFormat="1" ht="18" customHeight="1" thickBot="1">
      <c r="A15" s="1531" t="s">
        <v>1681</v>
      </c>
      <c r="B15" s="757" t="s">
        <v>629</v>
      </c>
      <c r="C15" s="53">
        <f ca="1">ROUND(C14*F15,0)</f>
        <v>9</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46</v>
      </c>
      <c r="K16" s="1691" t="s">
        <v>1550</v>
      </c>
      <c r="L16" s="2291"/>
      <c r="M16" s="2296"/>
    </row>
    <row r="17" spans="1:33" s="1901" customFormat="1" ht="18" customHeight="1">
      <c r="A17" s="1531" t="s">
        <v>1683</v>
      </c>
      <c r="B17" s="757" t="s">
        <v>635</v>
      </c>
      <c r="C17" s="53">
        <f ca="1">ROUND(F17*(F43+INDIRECT("'数据-取费表'!S"&amp;$G$1))/10000,0)</f>
        <v>19</v>
      </c>
      <c r="D17" s="757" t="s">
        <v>1551</v>
      </c>
      <c r="E17" s="757" t="s">
        <v>1552</v>
      </c>
      <c r="F17" s="56">
        <f>'数据-取费表'!B35</f>
        <v>200</v>
      </c>
      <c r="G17" s="3169"/>
      <c r="H17" s="1532" t="s">
        <v>1630</v>
      </c>
      <c r="I17" s="757" t="s">
        <v>638</v>
      </c>
      <c r="J17" s="2927">
        <f ca="1">ROUND(IF(AND(项目基本情况!B11="自然人",项目基本情况!B10="北京市"),J6*M17/(1+'数据-取费表'!C42),J18+J19+J20),0)</f>
        <v>39</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4</v>
      </c>
      <c r="D18" s="757" t="s">
        <v>1546</v>
      </c>
      <c r="E18" s="757" t="s">
        <v>1547</v>
      </c>
      <c r="F18" s="782">
        <f>'数据-取费表'!B36</f>
        <v>1.4999999999999999E-2</v>
      </c>
      <c r="G18" s="3169"/>
      <c r="H18" s="1531" t="s">
        <v>1680</v>
      </c>
      <c r="I18" s="757" t="s">
        <v>1555</v>
      </c>
      <c r="J18" s="53">
        <f ca="1">ROUND(J6*M18/(1+'数据-取费表'!C42),1)</f>
        <v>0</v>
      </c>
      <c r="K18" s="2289" t="s">
        <v>1556</v>
      </c>
      <c r="L18" s="757" t="s">
        <v>1547</v>
      </c>
      <c r="M18" s="782">
        <f>'数据-取费表'!B41</f>
        <v>5.6000000000000001E-2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7" t="s">
        <v>644</v>
      </c>
      <c r="C19" s="53">
        <f ca="1">SUM(C14:C18)</f>
        <v>317</v>
      </c>
      <c r="D19" s="259" t="s">
        <v>1557</v>
      </c>
      <c r="E19" s="1850"/>
      <c r="F19" s="56"/>
      <c r="G19" s="1899"/>
      <c r="H19" s="1531" t="s">
        <v>1681</v>
      </c>
      <c r="I19" s="757" t="s">
        <v>1558</v>
      </c>
      <c r="J19" s="53">
        <f ca="1">IF(K19="按租金收入计税",ROUND(J6*M19/(1+'数据-取费表'!C42),1),ROUND(C29*F33*0.7,1))</f>
        <v>38.799999999999997</v>
      </c>
      <c r="K19" s="783" t="s">
        <v>647</v>
      </c>
      <c r="L19" s="757" t="s">
        <v>1547</v>
      </c>
      <c r="M19" s="782">
        <f>IF(K19="按租金收入计税",'数据-取费表'!B51,'数据-取费表'!B50)</f>
        <v>1.2E-2</v>
      </c>
    </row>
    <row r="20" spans="1:33" s="1901" customFormat="1" ht="18" customHeight="1">
      <c r="A20" s="1532" t="s">
        <v>1685</v>
      </c>
      <c r="B20" s="757" t="s">
        <v>648</v>
      </c>
      <c r="C20" s="53">
        <f ca="1">ROUND(C19*F20,0)</f>
        <v>6</v>
      </c>
      <c r="D20" s="784" t="s">
        <v>1559</v>
      </c>
      <c r="E20" s="757" t="s">
        <v>1547</v>
      </c>
      <c r="F20" s="782">
        <f>'数据-取费表'!B37</f>
        <v>0.02</v>
      </c>
      <c r="G20" s="3169"/>
      <c r="H20" s="1534" t="s">
        <v>1676</v>
      </c>
      <c r="I20" s="339" t="s">
        <v>1560</v>
      </c>
      <c r="J20" s="54">
        <f ca="1">ROUND(M20*M21/10000,0)</f>
        <v>0</v>
      </c>
      <c r="K20" s="786" t="s">
        <v>1561</v>
      </c>
      <c r="L20" s="757" t="s">
        <v>1562</v>
      </c>
      <c r="M20" s="615">
        <f>'数据-取费表'!B52</f>
        <v>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1565</v>
      </c>
      <c r="F21" s="782">
        <f>'数据-取费表'!B38</f>
        <v>0.02</v>
      </c>
      <c r="G21" s="3169"/>
      <c r="H21" s="2311"/>
      <c r="I21" s="766"/>
      <c r="J21" s="69"/>
      <c r="K21" s="788"/>
      <c r="L21" s="757" t="s">
        <v>1566</v>
      </c>
      <c r="M21" s="758">
        <f ca="1">INDIRECT("'数据-取费表'!r"&amp;$G$1)</f>
        <v>380.68000000000029</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1850"/>
      <c r="F22" s="56"/>
      <c r="G22" s="1899"/>
      <c r="H22" s="1532" t="s">
        <v>1685</v>
      </c>
      <c r="I22" s="757" t="s">
        <v>1568</v>
      </c>
      <c r="J22" s="53">
        <f ca="1">ROUND(J14*M22,0)</f>
        <v>7</v>
      </c>
      <c r="K22" s="2289" t="s">
        <v>1569</v>
      </c>
      <c r="L22" s="757" t="s">
        <v>1547</v>
      </c>
      <c r="M22" s="789">
        <f ca="1">INDIRECT("'数据-取费表'!Ak"&amp;$G$1)</f>
        <v>1.4999999999999999E-2</v>
      </c>
    </row>
    <row r="23" spans="1:33" s="1901" customFormat="1" ht="18" customHeight="1">
      <c r="A23" s="1531" t="s">
        <v>1631</v>
      </c>
      <c r="B23" s="757" t="s">
        <v>2252</v>
      </c>
      <c r="C23" s="53">
        <f ca="1">ROUND(IF('数据-取费表'!B22&lt;=1,(C19+C20)*F24*F23/2,(C19+C20)*(POWER((1+F24),F23/2)-1)),0)</f>
        <v>21</v>
      </c>
      <c r="D23" s="2345" t="str">
        <f>IF(F23&lt;=1,"(建造成本+管理费用)×利率×(建设周期÷2)","(建造成本+管理费用)×((1+利率)^(建设周期÷2)-1)")</f>
        <v>(建造成本+管理费用)×((1+利率)^(建设周期÷2)-1)</v>
      </c>
      <c r="E23" s="757" t="s">
        <v>1570</v>
      </c>
      <c r="F23" s="615">
        <f>'数据-取费表'!B20</f>
        <v>3</v>
      </c>
      <c r="G23" s="3169"/>
      <c r="H23" s="1532" t="s">
        <v>1686</v>
      </c>
      <c r="I23" s="757" t="s">
        <v>661</v>
      </c>
      <c r="J23" s="53">
        <f ca="1">ROUND(J13*M23,0)</f>
        <v>0</v>
      </c>
      <c r="K23" s="2289" t="s">
        <v>1571</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1572</v>
      </c>
      <c r="C24" s="53">
        <f ca="1">ROUND(IF('数据-取费表'!B22&lt;=1,F21*F24*F23/2,F21*(POWER((1+F24),F23/2)-1)),4)</f>
        <v>1.2999999999999999E-3</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1.4999999999999999E-2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1575</v>
      </c>
      <c r="E25" s="1850"/>
      <c r="F25" s="56"/>
      <c r="G25" s="1899"/>
      <c r="H25" s="1699" t="s">
        <v>1576</v>
      </c>
      <c r="I25" s="2644" t="s">
        <v>2537</v>
      </c>
      <c r="J25" s="765">
        <f ca="1">J5-J16</f>
        <v>-46</v>
      </c>
      <c r="K25" s="2324" t="s">
        <v>1577</v>
      </c>
      <c r="L25" s="2325"/>
      <c r="M25" s="2326"/>
    </row>
    <row r="26" spans="1:33" ht="18" customHeight="1">
      <c r="A26" s="1531" t="s">
        <v>1631</v>
      </c>
      <c r="B26" s="757" t="s">
        <v>2219</v>
      </c>
      <c r="C26" s="53">
        <f ca="1">ROUND((C19+C20)*F26,0)</f>
        <v>81</v>
      </c>
      <c r="D26" s="784" t="s">
        <v>1578</v>
      </c>
      <c r="E26" s="768" t="s">
        <v>1579</v>
      </c>
      <c r="F26" s="767">
        <f ca="1">INDIRECT("'数据-取费表'!q"&amp;$G$1)</f>
        <v>0.25</v>
      </c>
      <c r="G26" s="1899"/>
      <c r="H26" s="2307" t="s">
        <v>1580</v>
      </c>
      <c r="I26" s="2066" t="s">
        <v>2542</v>
      </c>
      <c r="J26" s="756">
        <f ca="1">IF(J5&lt;&gt;0,ROUND(J25*(1-((1+M28)/(1+M26))^M27)/(M26-M28),0),0)</f>
        <v>0</v>
      </c>
      <c r="K26" s="786" t="s">
        <v>1581</v>
      </c>
      <c r="L26" s="757" t="s">
        <v>2205</v>
      </c>
      <c r="M26" s="767">
        <f ca="1">INDIRECT("'数据-取费表'!I"&amp;$G$1)</f>
        <v>0.06</v>
      </c>
    </row>
    <row r="27" spans="1:33" ht="18" customHeight="1">
      <c r="A27" s="1531" t="s">
        <v>1632</v>
      </c>
      <c r="B27" s="757" t="s">
        <v>668</v>
      </c>
      <c r="C27" s="53">
        <f ca="1">ROUND(F21*F26,4)</f>
        <v>5.0000000000000001E-3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5.33E-2</v>
      </c>
      <c r="D28" s="784" t="s">
        <v>2089</v>
      </c>
      <c r="E28" s="757" t="s">
        <v>1585</v>
      </c>
      <c r="F28" s="782">
        <f>'数据-取费表'!B41</f>
        <v>5.6000000000000001E-2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462</v>
      </c>
      <c r="D29" s="2321"/>
      <c r="E29" s="2322"/>
      <c r="F29" s="2323"/>
      <c r="G29" s="3169"/>
      <c r="H29" s="795" t="s">
        <v>1587</v>
      </c>
      <c r="I29" s="796" t="s">
        <v>1588</v>
      </c>
      <c r="J29" s="797">
        <f ca="1">ROUND(J26/(1+F40)^F41,0)</f>
        <v>0</v>
      </c>
      <c r="K29" s="798" t="s">
        <v>1589</v>
      </c>
      <c r="L29" s="799"/>
      <c r="M29" s="800">
        <f ca="1">INDIRECT("'数据-取费表'!k"&amp;$G$1)</f>
        <v>937.37</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35</v>
      </c>
      <c r="D30" s="1691" t="s">
        <v>1591</v>
      </c>
      <c r="E30" s="2291"/>
      <c r="F30" s="2296"/>
      <c r="G30" s="1899"/>
      <c r="H30" s="1902"/>
      <c r="I30" s="1903"/>
      <c r="J30" s="1904"/>
      <c r="K30" s="1905"/>
      <c r="L30" s="1906"/>
      <c r="M30" s="1907"/>
    </row>
    <row r="31" spans="1:33" ht="18" customHeight="1">
      <c r="A31" s="1532" t="s">
        <v>1630</v>
      </c>
      <c r="B31" s="757" t="s">
        <v>638</v>
      </c>
      <c r="C31" s="2927">
        <f ca="1">ROUND(IF(AND(项目基本情况!B11="自然人",项目基本情况!B10="北京市"),C6*F31/(1+'数据-取费表'!C42),C32+C33+C34),0)</f>
        <v>25</v>
      </c>
      <c r="D31" s="1847" t="s">
        <v>1592</v>
      </c>
      <c r="E31" s="1845" t="s">
        <v>1593</v>
      </c>
      <c r="F31" s="2926" t="str">
        <f>IF(项目基本情况!B11="企业","——",IF('数据-取费表'!B10="住宅",IF(F6*F7*F8/12/(1+'数据-取费表'!F30)&gt;100000,4%,2.5%),IF(F6*F7*F8/12/(1+'数据-取费表'!F30)&gt;100000,12%,7%)))</f>
        <v>——</v>
      </c>
      <c r="G31" s="1899"/>
      <c r="H31" s="3166" t="s">
        <v>2724</v>
      </c>
      <c r="I31" s="1903"/>
      <c r="J31" s="1904"/>
      <c r="K31" s="1905"/>
      <c r="L31" s="1906"/>
      <c r="M31" s="1907"/>
    </row>
    <row r="32" spans="1:33" ht="18" customHeight="1">
      <c r="A32" s="1531" t="s">
        <v>1631</v>
      </c>
      <c r="B32" s="757" t="s">
        <v>1594</v>
      </c>
      <c r="C32" s="53">
        <f ca="1">ROUND(C6*F32/(1+'数据-取费表'!C42),1)</f>
        <v>7.7</v>
      </c>
      <c r="D32" s="1845" t="s">
        <v>1595</v>
      </c>
      <c r="E32" s="757" t="s">
        <v>1596</v>
      </c>
      <c r="F32" s="782">
        <f>'数据-取费表'!B41</f>
        <v>5.6000000000000001E-2</v>
      </c>
      <c r="G32" s="1899"/>
      <c r="H32" s="1908"/>
      <c r="I32" s="1909"/>
      <c r="J32" s="1910"/>
      <c r="K32" s="1911"/>
      <c r="L32" s="1912"/>
      <c r="M32" s="1913"/>
    </row>
    <row r="33" spans="1:18" ht="18" customHeight="1">
      <c r="A33" s="1531" t="s">
        <v>1632</v>
      </c>
      <c r="B33" s="757" t="s">
        <v>1597</v>
      </c>
      <c r="C33" s="53">
        <f ca="1">IF(D33="按租金收入计税",ROUND(C6*F33/(1+'数据-取费表'!C42),1),IF(D33="按房产原值计税",ROUND(C29*F33*0.7,1),INDIRECT("'数据-取费表'!Aj"&amp;$G$1)))</f>
        <v>16.600000000000001</v>
      </c>
      <c r="D33" s="783" t="s">
        <v>3378</v>
      </c>
      <c r="E33" s="757" t="s">
        <v>1596</v>
      </c>
      <c r="F33" s="782">
        <f>IF(D33="按租金收入计税",'数据-取费表'!B51,'数据-取费表'!B50)</f>
        <v>0.12</v>
      </c>
      <c r="G33" s="1899"/>
      <c r="H33" s="1914"/>
      <c r="I33" s="1914"/>
      <c r="J33" s="1914"/>
      <c r="K33" s="1915"/>
      <c r="L33" s="1914"/>
      <c r="M33" s="1914"/>
    </row>
    <row r="34" spans="1:18" ht="18" customHeight="1">
      <c r="A34" s="1534" t="s">
        <v>1633</v>
      </c>
      <c r="B34" s="339" t="s">
        <v>1598</v>
      </c>
      <c r="C34" s="54">
        <f ca="1">ROUND(F34*F35/10000,1)</f>
        <v>0.2</v>
      </c>
      <c r="D34" s="786" t="s">
        <v>1599</v>
      </c>
      <c r="E34" s="757" t="s">
        <v>1600</v>
      </c>
      <c r="F34" s="615">
        <f>'数据-取费表'!B52</f>
        <v>5</v>
      </c>
      <c r="G34" s="1899"/>
      <c r="H34" s="1902"/>
      <c r="I34" s="807" t="s">
        <v>1613</v>
      </c>
      <c r="J34" s="808"/>
      <c r="K34" s="1917"/>
      <c r="L34" s="1916"/>
      <c r="M34" s="1916"/>
    </row>
    <row r="35" spans="1:18" ht="18" customHeight="1">
      <c r="A35" s="787"/>
      <c r="B35" s="766"/>
      <c r="C35" s="69"/>
      <c r="D35" s="788"/>
      <c r="E35" s="757" t="s">
        <v>1601</v>
      </c>
      <c r="F35" s="758">
        <f ca="1">INDIRECT("'数据-取费表'!r"&amp;$G$1)</f>
        <v>380.68000000000029</v>
      </c>
      <c r="G35" s="1899"/>
      <c r="H35" s="1902"/>
      <c r="I35" s="809" t="s">
        <v>1614</v>
      </c>
      <c r="J35" s="810">
        <f ca="1">ROUND(C13*J36,0)</f>
        <v>37</v>
      </c>
      <c r="K35" s="1915"/>
      <c r="L35" s="1914"/>
      <c r="M35" s="1914"/>
    </row>
    <row r="36" spans="1:18" ht="18" customHeight="1">
      <c r="A36" s="1532" t="s">
        <v>1685</v>
      </c>
      <c r="B36" s="757" t="s">
        <v>1602</v>
      </c>
      <c r="C36" s="53">
        <f ca="1">ROUND(C29*F36,1)</f>
        <v>6.9</v>
      </c>
      <c r="D36" s="1845" t="s">
        <v>1603</v>
      </c>
      <c r="E36" s="757" t="s">
        <v>1596</v>
      </c>
      <c r="F36" s="789">
        <f ca="1">INDIRECT("'数据-取费表'!Ak"&amp;$G$1)</f>
        <v>1.4999999999999999E-2</v>
      </c>
      <c r="G36" s="1899"/>
      <c r="H36" s="1914"/>
      <c r="I36" s="811" t="s">
        <v>1615</v>
      </c>
      <c r="J36" s="812">
        <f ca="1">INDIRECT("'数据-取费表'!j"&amp;$G$1)</f>
        <v>0.08</v>
      </c>
      <c r="K36" s="1918"/>
      <c r="L36" s="1914"/>
      <c r="M36" s="1914"/>
    </row>
    <row r="37" spans="1:18" ht="18" customHeight="1">
      <c r="A37" s="1532" t="s">
        <v>1686</v>
      </c>
      <c r="B37" s="757" t="s">
        <v>661</v>
      </c>
      <c r="C37" s="53">
        <f ca="1">ROUND(C13*F37,1)</f>
        <v>0.5</v>
      </c>
      <c r="D37" s="1845" t="s">
        <v>1604</v>
      </c>
      <c r="E37" s="757" t="s">
        <v>1596</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2.2000000000000002</v>
      </c>
      <c r="D38" s="2321" t="s">
        <v>1605</v>
      </c>
      <c r="E38" s="2322" t="s">
        <v>1596</v>
      </c>
      <c r="F38" s="2318">
        <f ca="1">INDIRECT("'数据-取费表'!Am"&amp;$G$1)</f>
        <v>1.4999999999999999E-2</v>
      </c>
      <c r="G38" s="1899"/>
      <c r="H38" s="1914"/>
      <c r="I38" s="815" t="s">
        <v>1617</v>
      </c>
      <c r="J38" s="816"/>
      <c r="K38" s="1919"/>
      <c r="L38" s="1914"/>
      <c r="M38" s="1914"/>
    </row>
    <row r="39" spans="1:18" ht="24.6" customHeight="1" thickTop="1">
      <c r="A39" s="1699" t="s">
        <v>1690</v>
      </c>
      <c r="B39" s="2644" t="s">
        <v>2537</v>
      </c>
      <c r="C39" s="765">
        <f ca="1">C5-C30</f>
        <v>110</v>
      </c>
      <c r="D39" s="2324" t="s">
        <v>1606</v>
      </c>
      <c r="E39" s="2325"/>
      <c r="F39" s="2326"/>
      <c r="G39" s="1899"/>
      <c r="H39" s="1914"/>
      <c r="I39" s="809" t="s">
        <v>1618</v>
      </c>
      <c r="J39" s="817">
        <f ca="1">ROUND(J35/C39,3)</f>
        <v>0.33600000000000002</v>
      </c>
      <c r="K39" s="1919"/>
      <c r="L39" s="1914"/>
      <c r="M39" s="1914"/>
    </row>
    <row r="40" spans="1:18" ht="18" customHeight="1">
      <c r="A40" s="754" t="s">
        <v>1691</v>
      </c>
      <c r="B40" s="2066" t="s">
        <v>2091</v>
      </c>
      <c r="C40" s="756">
        <f ca="1">ROUND(C39*(1-((1+F42)/(1+F40))^F41)/(F40-F42),0)</f>
        <v>2336</v>
      </c>
      <c r="D40" s="786" t="s">
        <v>1607</v>
      </c>
      <c r="E40" s="757" t="s">
        <v>2205</v>
      </c>
      <c r="F40" s="767">
        <f ca="1">INDIRECT("'数据-取费表'!I"&amp;$G$1)</f>
        <v>0.06</v>
      </c>
      <c r="G40" s="1899"/>
      <c r="H40" s="1899"/>
      <c r="I40" s="809" t="s">
        <v>1619</v>
      </c>
      <c r="J40" s="817">
        <f ca="1">1-J39</f>
        <v>0.66399999999999992</v>
      </c>
      <c r="K40" s="1919"/>
      <c r="L40" s="1899"/>
      <c r="M40" s="1899"/>
    </row>
    <row r="41" spans="1:18" ht="18" customHeight="1">
      <c r="A41" s="759"/>
      <c r="B41" s="760"/>
      <c r="C41" s="761"/>
      <c r="D41" s="793" t="s">
        <v>1608</v>
      </c>
      <c r="E41" s="757" t="s">
        <v>2661</v>
      </c>
      <c r="F41" s="794">
        <f ca="1">IF(INDIRECT("'数据-取费表'!af"&amp;$G$1)=0,INDIRECT("'数据-取费表'!ae"&amp;$G$1),INDIRECT("'数据-取费表'!af"&amp;$G$1))</f>
        <v>35.31</v>
      </c>
      <c r="G41" s="1899"/>
      <c r="H41" s="1854"/>
      <c r="I41" s="815" t="s">
        <v>1620</v>
      </c>
      <c r="J41" s="818"/>
      <c r="K41" s="1918"/>
      <c r="L41" s="1854"/>
      <c r="M41" s="1854"/>
    </row>
    <row r="42" spans="1:18" ht="18" customHeight="1">
      <c r="A42" s="763"/>
      <c r="B42" s="764"/>
      <c r="C42" s="765"/>
      <c r="D42" s="788"/>
      <c r="E42" s="757" t="s">
        <v>1609</v>
      </c>
      <c r="F42" s="767">
        <f ca="1">INDIRECT("'数据-取费表'!v"&amp;$G$1)</f>
        <v>0.03</v>
      </c>
      <c r="G42" s="1899"/>
      <c r="H42" s="1854"/>
      <c r="I42" s="819" t="s">
        <v>1621</v>
      </c>
      <c r="J42" s="817">
        <f ca="1">ROUND(C13/C40,3)</f>
        <v>0.19800000000000001</v>
      </c>
      <c r="K42" s="1918"/>
      <c r="L42" s="1854"/>
      <c r="M42" s="1854"/>
    </row>
    <row r="43" spans="1:18" ht="18" customHeight="1" thickBot="1">
      <c r="A43" s="795" t="s">
        <v>1587</v>
      </c>
      <c r="B43" s="796" t="s">
        <v>1610</v>
      </c>
      <c r="C43" s="797">
        <f ca="1">ROUND(C40*10000/F43,0)</f>
        <v>24921</v>
      </c>
      <c r="D43" s="798" t="s">
        <v>1611</v>
      </c>
      <c r="E43" s="799" t="s">
        <v>1612</v>
      </c>
      <c r="F43" s="800">
        <f ca="1">INDIRECT("'数据-取费表'!k"&amp;$G$1)</f>
        <v>937.37</v>
      </c>
      <c r="G43" s="1899"/>
      <c r="H43" s="1854"/>
      <c r="I43" s="819" t="s">
        <v>1622</v>
      </c>
      <c r="J43" s="820">
        <f ca="1">1-J42</f>
        <v>0.80200000000000005</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-2438</v>
      </c>
      <c r="D46" s="3170"/>
      <c r="E46" s="3170"/>
      <c r="F46" s="3170"/>
      <c r="I46" s="2187" t="s">
        <v>2129</v>
      </c>
      <c r="J46" s="2188"/>
      <c r="K46" s="2189"/>
      <c r="L46" s="2729">
        <f>IF(OR(M47="住宅",D1="土地（套用方法）"),0,IF(L48&gt;J51,L60,J60))</f>
        <v>0</v>
      </c>
      <c r="M46" s="3171"/>
      <c r="O46" s="2203" t="s">
        <v>2196</v>
      </c>
      <c r="P46" s="1482"/>
      <c r="Q46" s="1490"/>
      <c r="R46" s="1482"/>
    </row>
    <row r="47" spans="1:18" s="1896" customFormat="1" ht="18" customHeight="1" thickBot="1">
      <c r="A47" s="2181">
        <v>1</v>
      </c>
      <c r="B47" s="2182" t="s">
        <v>617</v>
      </c>
      <c r="C47" s="2348">
        <f ca="1">C48+C52+C54</f>
        <v>0</v>
      </c>
      <c r="D47" s="3170"/>
      <c r="E47" s="3170"/>
      <c r="F47" s="3170"/>
      <c r="I47" s="2720" t="s">
        <v>2130</v>
      </c>
      <c r="J47" s="2190" t="s">
        <v>3379</v>
      </c>
      <c r="K47" s="2726" t="s">
        <v>2135</v>
      </c>
      <c r="L47" s="2730">
        <f ca="1">INDIRECT("'数据-取费表'!d"&amp;$G$1)</f>
        <v>40</v>
      </c>
      <c r="M47" s="1490" t="str">
        <f>IF(ISNUMBER(FIND("住宅",C1)),"住宅","非住宅")</f>
        <v>非住宅</v>
      </c>
      <c r="O47" s="2204" t="s">
        <v>2161</v>
      </c>
      <c r="P47" s="2205" t="s">
        <v>2162</v>
      </c>
      <c r="Q47" s="2206" t="s">
        <v>2163</v>
      </c>
      <c r="R47" s="2205" t="s">
        <v>2164</v>
      </c>
    </row>
    <row r="48" spans="1:18" s="1896" customFormat="1" ht="18" customHeight="1" thickBot="1">
      <c r="A48" s="2406" t="s">
        <v>2254</v>
      </c>
      <c r="B48" s="2407" t="s">
        <v>2255</v>
      </c>
      <c r="C48" s="2183">
        <f ca="1">ROUND(F48*F50*F49*(1-F51)/10000,0)</f>
        <v>0</v>
      </c>
      <c r="D48" s="2184" t="s">
        <v>618</v>
      </c>
      <c r="E48" s="2185" t="s">
        <v>2086</v>
      </c>
      <c r="F48" s="2186"/>
      <c r="G48" s="1926"/>
      <c r="I48" s="2717" t="s">
        <v>2131</v>
      </c>
      <c r="J48" s="2191" t="s">
        <v>2136</v>
      </c>
      <c r="K48" s="2727" t="s">
        <v>2137</v>
      </c>
      <c r="L48" s="1777">
        <f ca="1">INDIRECT("'数据-取费表'!f"&amp;$G$1)</f>
        <v>38.31</v>
      </c>
      <c r="M48" s="3171"/>
      <c r="O48" s="2207" t="s">
        <v>2165</v>
      </c>
      <c r="P48" s="2208" t="s">
        <v>2191</v>
      </c>
      <c r="Q48" s="2209">
        <f ca="1">C40+J29</f>
        <v>2336</v>
      </c>
      <c r="R48" s="2208" t="s">
        <v>2166</v>
      </c>
    </row>
    <row r="49" spans="1:18" s="1896" customFormat="1" ht="18" customHeight="1" thickBot="1">
      <c r="A49" s="759"/>
      <c r="B49" s="760"/>
      <c r="C49" s="761"/>
      <c r="D49" s="762"/>
      <c r="E49" s="757" t="s">
        <v>1539</v>
      </c>
      <c r="F49" s="758">
        <f ca="1">F7</f>
        <v>937.37</v>
      </c>
      <c r="G49" s="1926"/>
      <c r="H49" s="1929"/>
      <c r="I49" s="2717" t="s">
        <v>2132</v>
      </c>
      <c r="J49" s="2192">
        <v>2024</v>
      </c>
      <c r="K49" s="2728" t="s">
        <v>2138</v>
      </c>
      <c r="L49" s="2193"/>
      <c r="M49" s="3171"/>
      <c r="O49" s="2207" t="s">
        <v>2167</v>
      </c>
      <c r="P49" s="2208" t="s">
        <v>2192</v>
      </c>
      <c r="Q49" s="2209" t="str">
        <f ca="1">J60</f>
        <v>0</v>
      </c>
      <c r="R49" s="2208" t="s">
        <v>2168</v>
      </c>
    </row>
    <row r="50" spans="1:18" s="1896" customFormat="1" ht="18" customHeight="1" thickBot="1">
      <c r="A50" s="759"/>
      <c r="B50" s="760"/>
      <c r="C50" s="761"/>
      <c r="D50" s="762"/>
      <c r="E50" s="757" t="s">
        <v>1540</v>
      </c>
      <c r="F50" s="758">
        <f ca="1">F8</f>
        <v>365</v>
      </c>
      <c r="G50" s="1931"/>
      <c r="H50" s="1929"/>
      <c r="I50" s="2717" t="s">
        <v>2133</v>
      </c>
      <c r="J50" s="2724">
        <f>SUMPRODUCT((I63:I65=J47)*(J62:L62=J48)*(J63:L65))</f>
        <v>60</v>
      </c>
      <c r="K50" s="2728" t="s">
        <v>2139</v>
      </c>
      <c r="L50" s="2193"/>
      <c r="M50" s="3171"/>
      <c r="O50" s="2210" t="s">
        <v>2169</v>
      </c>
      <c r="P50" s="2208" t="s">
        <v>2193</v>
      </c>
      <c r="Q50" s="2209">
        <f ca="1">C29</f>
        <v>462</v>
      </c>
      <c r="R50" s="2208" t="s">
        <v>2166</v>
      </c>
    </row>
    <row r="51" spans="1:18" s="1896" customFormat="1" ht="18" customHeight="1" thickBot="1">
      <c r="A51" s="759"/>
      <c r="B51" s="760"/>
      <c r="C51" s="761"/>
      <c r="D51" s="762"/>
      <c r="E51" s="757" t="s">
        <v>622</v>
      </c>
      <c r="F51" s="2180"/>
      <c r="H51" s="1929"/>
      <c r="I51" s="2721" t="s">
        <v>2134</v>
      </c>
      <c r="J51" s="2725">
        <f>IF(J49="",J50,J49+J50-YEAR('数据-取费表'!B2))</f>
        <v>62</v>
      </c>
      <c r="K51" s="2717" t="s">
        <v>2140</v>
      </c>
      <c r="L51" s="2731">
        <f ca="1">ROUND(-PV(INDIRECT("'数据-取费表'!h"&amp;$G$1),J51,(C39-C13*J36),0),0)</f>
        <v>1280</v>
      </c>
      <c r="M51" s="3171"/>
      <c r="O51" s="2210" t="s">
        <v>2170</v>
      </c>
      <c r="P51" s="2208" t="s">
        <v>2171</v>
      </c>
      <c r="Q51" s="2211" t="e">
        <f ca="1">J58</f>
        <v>#VALUE!</v>
      </c>
      <c r="R51" s="2212"/>
    </row>
    <row r="52" spans="1:18" s="1896" customFormat="1" ht="18" customHeight="1" thickBot="1">
      <c r="A52" s="754" t="s">
        <v>2253</v>
      </c>
      <c r="B52" s="2299" t="s">
        <v>2237</v>
      </c>
      <c r="C52" s="772">
        <f ca="1">ROUND(IF(F52="押一",C48/12*F11,IF(F52="押二",C48/12*2*F11,IF(F52="押三",C48/12*3*F11,C53*F11))),0)</f>
        <v>0</v>
      </c>
      <c r="D52" s="2306" t="s">
        <v>2670</v>
      </c>
      <c r="E52" s="2303" t="s">
        <v>2242</v>
      </c>
      <c r="F52" s="2387"/>
      <c r="I52" s="2722" t="s">
        <v>2207</v>
      </c>
      <c r="J52" s="2194">
        <v>8.5000000000000006E-2</v>
      </c>
      <c r="K52" s="2722" t="s">
        <v>2206</v>
      </c>
      <c r="L52" s="2194"/>
      <c r="M52" s="3171"/>
      <c r="O52" s="2210" t="s">
        <v>2172</v>
      </c>
      <c r="P52" s="2208" t="s">
        <v>2173</v>
      </c>
      <c r="Q52" s="2211">
        <f>J52</f>
        <v>8.5000000000000006E-2</v>
      </c>
      <c r="R52" s="2212"/>
    </row>
    <row r="53" spans="1:18" s="1896" customFormat="1" ht="39.75" customHeight="1" thickBot="1">
      <c r="A53" s="759"/>
      <c r="B53" s="2300" t="s">
        <v>2290</v>
      </c>
      <c r="C53" s="2304"/>
      <c r="D53" s="2306"/>
      <c r="E53" s="2303"/>
      <c r="F53" s="773"/>
      <c r="I53" s="2723" t="s">
        <v>2673</v>
      </c>
      <c r="J53" s="2776">
        <f ca="1">IF(M47="住宅",IF(D1="——",MAX(J51,L48),MAX(J51,L48-'数据-取费表'!B20)),IF(D1="——",MIN(J51,L48),MIN(J51,L48-'数据-取费表'!B20)))</f>
        <v>35.31</v>
      </c>
      <c r="K53" s="3843" t="s">
        <v>2663</v>
      </c>
      <c r="L53" s="3844"/>
      <c r="M53" s="3171"/>
      <c r="O53" s="2210" t="s">
        <v>2174</v>
      </c>
      <c r="P53" s="2208" t="s">
        <v>2175</v>
      </c>
      <c r="Q53" s="2209">
        <f ca="1">J53</f>
        <v>35.31</v>
      </c>
      <c r="R53" s="2208" t="s">
        <v>2176</v>
      </c>
    </row>
    <row r="54" spans="1:18" s="1896" customFormat="1" ht="18" customHeight="1" thickBot="1">
      <c r="A54" s="2313" t="s">
        <v>2245</v>
      </c>
      <c r="B54" s="2314" t="s">
        <v>2238</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2177</v>
      </c>
      <c r="P54" s="2208" t="s">
        <v>2194</v>
      </c>
      <c r="Q54" s="2209">
        <f ca="1">Q48+Q49</f>
        <v>2336</v>
      </c>
      <c r="R54" s="2212" t="s">
        <v>2178</v>
      </c>
    </row>
    <row r="55" spans="1:18" s="1896" customFormat="1" ht="18" customHeight="1" thickTop="1" thickBot="1">
      <c r="A55" s="770">
        <v>2</v>
      </c>
      <c r="B55" s="771" t="s">
        <v>626</v>
      </c>
      <c r="C55" s="772">
        <f ca="1">C13</f>
        <v>462</v>
      </c>
      <c r="D55" s="768"/>
      <c r="E55" s="768"/>
      <c r="F55" s="773"/>
      <c r="I55" s="2734" t="s">
        <v>2141</v>
      </c>
      <c r="J55" s="2706" t="e">
        <f ca="1">ROUND(IF(J47="钢混",J57/J50,1-(1-2%)*(J50-J57)/J50),3)</f>
        <v>#VALUE!</v>
      </c>
      <c r="K55" s="2735" t="s">
        <v>2142</v>
      </c>
      <c r="L55" s="2195"/>
      <c r="M55" s="3171"/>
      <c r="O55" s="2213" t="s">
        <v>2197</v>
      </c>
      <c r="P55" s="1482"/>
      <c r="Q55" s="1490"/>
      <c r="R55" s="1482"/>
    </row>
    <row r="56" spans="1:18" s="1896" customFormat="1" ht="42.75" customHeight="1" thickBot="1">
      <c r="A56" s="1533"/>
      <c r="B56" s="2065" t="s">
        <v>2092</v>
      </c>
      <c r="C56" s="53">
        <f ca="1">C29</f>
        <v>462</v>
      </c>
      <c r="D56" s="2403"/>
      <c r="E56" s="757"/>
      <c r="F56" s="782"/>
      <c r="I56" s="2736" t="s">
        <v>2143</v>
      </c>
      <c r="J56" s="2746" t="s">
        <v>1478</v>
      </c>
      <c r="K56" s="2717" t="s">
        <v>2148</v>
      </c>
      <c r="L56" s="1777" t="str">
        <f ca="1">IF(L48&lt;J51,"——",L48-J51)</f>
        <v>——</v>
      </c>
      <c r="M56" s="3171"/>
      <c r="O56" s="2204" t="s">
        <v>2161</v>
      </c>
      <c r="P56" s="2205" t="s">
        <v>2162</v>
      </c>
      <c r="Q56" s="2206" t="s">
        <v>2163</v>
      </c>
      <c r="R56" s="2205" t="s">
        <v>2164</v>
      </c>
    </row>
    <row r="57" spans="1:18" s="1896" customFormat="1" ht="28.5" customHeight="1" thickBot="1">
      <c r="A57" s="770" t="s">
        <v>1548</v>
      </c>
      <c r="B57" s="771" t="s">
        <v>633</v>
      </c>
      <c r="C57" s="772">
        <f ca="1">ROUND(C58+C63+C64+C65,0)</f>
        <v>7</v>
      </c>
      <c r="D57" s="26" t="s">
        <v>1550</v>
      </c>
      <c r="E57" s="2404"/>
      <c r="F57" s="56"/>
      <c r="I57" s="2737" t="s">
        <v>2144</v>
      </c>
      <c r="J57" s="2738" t="str">
        <f ca="1">IF(OR(M47="住宅",J51&lt;L48,J56="是"),"——",J51-L48)</f>
        <v>——</v>
      </c>
      <c r="K57" s="2717" t="s">
        <v>2149</v>
      </c>
      <c r="L57" s="1777" t="str">
        <f ca="1">IF(L48&lt;J51,"——",IF(L55="比较法",L49,IF(L55="基准地价",L50,L51)))</f>
        <v>——</v>
      </c>
      <c r="M57" s="3171"/>
      <c r="O57" s="2207" t="s">
        <v>2165</v>
      </c>
      <c r="P57" s="2208" t="s">
        <v>2195</v>
      </c>
      <c r="Q57" s="2209">
        <f ca="1">C40+J29</f>
        <v>2336</v>
      </c>
      <c r="R57" s="2208" t="s">
        <v>2166</v>
      </c>
    </row>
    <row r="58" spans="1:18" s="1896" customFormat="1" ht="28.5" customHeight="1" thickBot="1">
      <c r="A58" s="1532" t="s">
        <v>1624</v>
      </c>
      <c r="B58" s="757" t="s">
        <v>638</v>
      </c>
      <c r="C58" s="2927">
        <f ca="1">ROUND(IF(AND(项目基本情况!B11="自然人",项目基本情况!B10="北京市"),C48*F58/(1+'数据-取费表'!C42),C59+C60+C61),0)</f>
        <v>0</v>
      </c>
      <c r="D58" s="2402" t="s">
        <v>639</v>
      </c>
      <c r="E58" s="2403" t="s">
        <v>672</v>
      </c>
      <c r="F58" s="2926" t="str">
        <f>IF(项目基本情况!B11="企业","——",IF('数据-取费表'!B10="住宅",IF(F48*F49*F50/12/(1+'数据-取费表'!F30)&gt;100000,4%,2.5%),IF(F48*F49*F50/12/(1+'数据-取费表'!F30)&gt;100000,12%,7%)))</f>
        <v>——</v>
      </c>
      <c r="I58" s="2737" t="s">
        <v>2145</v>
      </c>
      <c r="J58" s="2707" t="e">
        <f ca="1">IF(J55&lt;0.4,0.4,J55)</f>
        <v>#VALUE!</v>
      </c>
      <c r="K58" s="2717" t="s">
        <v>2150</v>
      </c>
      <c r="L58" s="1777" t="e">
        <f ca="1">ROUND(POWER(1+L52,L47-L48)*(POWER(1+L52,L48)-1)/(POWER(1+L52,L47)-1),4)</f>
        <v>#DIV/0!</v>
      </c>
      <c r="M58" s="3171"/>
      <c r="O58" s="2207" t="s">
        <v>2167</v>
      </c>
      <c r="P58" s="2208" t="s">
        <v>2198</v>
      </c>
      <c r="Q58" s="2209">
        <f ca="1">L60</f>
        <v>0</v>
      </c>
      <c r="R58" s="2212" t="s">
        <v>2200</v>
      </c>
    </row>
    <row r="59" spans="1:18" s="1896" customFormat="1" ht="28.5" customHeight="1" thickBot="1">
      <c r="A59" s="1531" t="s">
        <v>1631</v>
      </c>
      <c r="B59" s="757" t="s">
        <v>642</v>
      </c>
      <c r="C59" s="53">
        <f ca="1">ROUND(C47*F59/1.05,1)</f>
        <v>0</v>
      </c>
      <c r="D59" s="2403" t="s">
        <v>1556</v>
      </c>
      <c r="E59" s="757" t="s">
        <v>1547</v>
      </c>
      <c r="F59" s="782">
        <f t="shared" ref="F59:F65" si="0">F32</f>
        <v>5.6000000000000001E-2</v>
      </c>
      <c r="I59" s="2737" t="s">
        <v>2146</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2169</v>
      </c>
      <c r="P59" s="2208" t="s">
        <v>2199</v>
      </c>
      <c r="Q59" s="2209">
        <f>IF(L55="比较法",L49,IF(L55="基准地价",L50,0))</f>
        <v>0</v>
      </c>
      <c r="R59" s="2208" t="s">
        <v>2166</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9" t="s">
        <v>2147</v>
      </c>
      <c r="J60" s="2740" t="str">
        <f ca="1">IF(OR(M47="住宅",J51&lt;L48,J56="是"),"0",ROUND(J59/(1+J52)^J53,0))</f>
        <v>0</v>
      </c>
      <c r="K60" s="2741" t="s">
        <v>2152</v>
      </c>
      <c r="L60" s="2740">
        <f ca="1">IF(OR(M47="住宅",L48&lt;J51),0,ROUND(L57*(L58/L59-1),0))</f>
        <v>0</v>
      </c>
      <c r="M60" s="3171"/>
      <c r="O60" s="2210" t="s">
        <v>2170</v>
      </c>
      <c r="P60" s="2208" t="s">
        <v>2179</v>
      </c>
      <c r="Q60" s="2211">
        <f>L52</f>
        <v>0</v>
      </c>
      <c r="R60" s="2212"/>
    </row>
    <row r="61" spans="1:18" s="1896" customFormat="1" ht="18" customHeight="1" thickBot="1">
      <c r="A61" s="1534" t="s">
        <v>1633</v>
      </c>
      <c r="B61" s="339" t="s">
        <v>650</v>
      </c>
      <c r="C61" s="54">
        <f ca="1">ROUND(F61*F62/10000,1)</f>
        <v>0.2</v>
      </c>
      <c r="D61" s="786" t="s">
        <v>651</v>
      </c>
      <c r="E61" s="757" t="s">
        <v>652</v>
      </c>
      <c r="F61" s="615">
        <f t="shared" si="0"/>
        <v>5</v>
      </c>
      <c r="K61" s="1922"/>
      <c r="O61" s="2210" t="s">
        <v>2172</v>
      </c>
      <c r="P61" s="2208" t="s">
        <v>2180</v>
      </c>
      <c r="Q61" s="2209" t="e">
        <f ca="1">L58</f>
        <v>#DIV/0!</v>
      </c>
      <c r="R61" s="2212" t="s">
        <v>2181</v>
      </c>
    </row>
    <row r="62" spans="1:18" s="1896" customFormat="1" ht="15.75" thickBot="1">
      <c r="A62" s="787"/>
      <c r="B62" s="766"/>
      <c r="C62" s="69"/>
      <c r="D62" s="788"/>
      <c r="E62" s="757" t="s">
        <v>656</v>
      </c>
      <c r="F62" s="758">
        <f t="shared" ca="1" si="0"/>
        <v>380.68000000000029</v>
      </c>
      <c r="I62" s="2742" t="s">
        <v>2153</v>
      </c>
      <c r="J62" s="2743" t="s">
        <v>2154</v>
      </c>
      <c r="K62" s="2743" t="s">
        <v>2155</v>
      </c>
      <c r="L62" s="2743" t="s">
        <v>2136</v>
      </c>
      <c r="M62" s="2744" t="s">
        <v>2642</v>
      </c>
      <c r="O62" s="2210" t="s">
        <v>2174</v>
      </c>
      <c r="P62" s="2208" t="str">
        <f>K59</f>
        <v>建设期及建筑物耐用年限下的土地年期修正系数Kn</v>
      </c>
      <c r="Q62" s="2209" t="e">
        <f ca="1">L59</f>
        <v>#DIV/0!</v>
      </c>
      <c r="R62" s="2212" t="s">
        <v>2183</v>
      </c>
    </row>
    <row r="63" spans="1:18" s="1896" customFormat="1" ht="15.75" thickBot="1">
      <c r="A63" s="1532" t="s">
        <v>1685</v>
      </c>
      <c r="B63" s="757" t="s">
        <v>658</v>
      </c>
      <c r="C63" s="53">
        <f ca="1">ROUND(C56*F63,1)</f>
        <v>6.9</v>
      </c>
      <c r="D63" s="2403" t="s">
        <v>1603</v>
      </c>
      <c r="E63" s="757" t="s">
        <v>1547</v>
      </c>
      <c r="F63" s="789">
        <f t="shared" ca="1" si="0"/>
        <v>1.4999999999999999E-2</v>
      </c>
      <c r="I63" s="2742" t="s">
        <v>2156</v>
      </c>
      <c r="J63" s="2743">
        <v>70</v>
      </c>
      <c r="K63" s="2743">
        <v>50</v>
      </c>
      <c r="L63" s="2743">
        <v>80</v>
      </c>
      <c r="M63" s="2745">
        <v>0.02</v>
      </c>
      <c r="O63" s="2207" t="s">
        <v>2177</v>
      </c>
      <c r="P63" s="2208" t="s">
        <v>2194</v>
      </c>
      <c r="Q63" s="2209">
        <f ca="1">Q57+Q58</f>
        <v>2336</v>
      </c>
      <c r="R63" s="2212" t="s">
        <v>2178</v>
      </c>
    </row>
    <row r="64" spans="1:18" s="1896" customFormat="1" ht="16.5" thickBot="1">
      <c r="A64" s="1532" t="s">
        <v>1686</v>
      </c>
      <c r="B64" s="757" t="s">
        <v>661</v>
      </c>
      <c r="C64" s="53">
        <f ca="1">ROUND(C55*F64,1)</f>
        <v>0.5</v>
      </c>
      <c r="D64" s="2403" t="s">
        <v>662</v>
      </c>
      <c r="E64" s="757" t="s">
        <v>1547</v>
      </c>
      <c r="F64" s="790">
        <f t="shared" ca="1" si="0"/>
        <v>1E-3</v>
      </c>
      <c r="I64" s="2742" t="s">
        <v>2157</v>
      </c>
      <c r="J64" s="2743">
        <v>50</v>
      </c>
      <c r="K64" s="2743">
        <v>35</v>
      </c>
      <c r="L64" s="2743">
        <v>60</v>
      </c>
      <c r="M64" s="818">
        <v>0</v>
      </c>
      <c r="O64" s="2213" t="s">
        <v>2201</v>
      </c>
      <c r="P64" s="1482"/>
      <c r="Q64" s="1490"/>
      <c r="R64" s="1482"/>
    </row>
    <row r="65" spans="1:18" s="1896" customFormat="1" ht="15.75" thickBot="1">
      <c r="A65" s="1532" t="s">
        <v>1687</v>
      </c>
      <c r="B65" s="757" t="s">
        <v>648</v>
      </c>
      <c r="C65" s="53">
        <f ca="1">ROUND(C47*F65,1)</f>
        <v>0</v>
      </c>
      <c r="D65" s="2403" t="s">
        <v>665</v>
      </c>
      <c r="E65" s="757" t="s">
        <v>1547</v>
      </c>
      <c r="F65" s="767">
        <f t="shared" ca="1" si="0"/>
        <v>1.4999999999999999E-2</v>
      </c>
      <c r="I65" s="2742" t="s">
        <v>2158</v>
      </c>
      <c r="J65" s="2743">
        <v>40</v>
      </c>
      <c r="K65" s="2743">
        <v>30</v>
      </c>
      <c r="L65" s="2743">
        <v>50</v>
      </c>
      <c r="M65" s="2745">
        <v>0.02</v>
      </c>
      <c r="O65" s="2204" t="s">
        <v>2161</v>
      </c>
      <c r="P65" s="2205" t="s">
        <v>2162</v>
      </c>
      <c r="Q65" s="2206" t="s">
        <v>2163</v>
      </c>
      <c r="R65" s="2205" t="s">
        <v>2164</v>
      </c>
    </row>
    <row r="66" spans="1:18" s="1896" customFormat="1" ht="24.75" thickBot="1">
      <c r="A66" s="770" t="s">
        <v>1576</v>
      </c>
      <c r="B66" s="2645" t="s">
        <v>2537</v>
      </c>
      <c r="C66" s="772">
        <f ca="1">C47-C57</f>
        <v>-7</v>
      </c>
      <c r="D66" s="2402" t="s">
        <v>682</v>
      </c>
      <c r="E66" s="2401"/>
      <c r="F66" s="792"/>
      <c r="K66" s="1922"/>
      <c r="O66" s="2207" t="s">
        <v>2165</v>
      </c>
      <c r="P66" s="2208" t="s">
        <v>2195</v>
      </c>
      <c r="Q66" s="2209">
        <f ca="1">C40+J29</f>
        <v>2336</v>
      </c>
      <c r="R66" s="2208" t="s">
        <v>2166</v>
      </c>
    </row>
    <row r="67" spans="1:18" s="1896" customFormat="1" ht="20.25" thickBot="1">
      <c r="A67" s="754" t="s">
        <v>1580</v>
      </c>
      <c r="B67" s="2066" t="s">
        <v>2091</v>
      </c>
      <c r="C67" s="756">
        <f ca="1">ROUND(C66*(1-((1+F69)/(1+F67))^F68)/(F67-F69),0)</f>
        <v>-102</v>
      </c>
      <c r="D67" s="786" t="s">
        <v>686</v>
      </c>
      <c r="E67" s="757" t="s">
        <v>687</v>
      </c>
      <c r="F67" s="767">
        <f ca="1">F40</f>
        <v>0.06</v>
      </c>
      <c r="K67" s="1922"/>
      <c r="O67" s="2207" t="s">
        <v>2167</v>
      </c>
      <c r="P67" s="2208" t="s">
        <v>2198</v>
      </c>
      <c r="Q67" s="2209">
        <f ca="1">L60</f>
        <v>0</v>
      </c>
      <c r="R67" s="2212" t="s">
        <v>2200</v>
      </c>
    </row>
    <row r="68" spans="1:18" ht="21.75" thickBot="1">
      <c r="A68" s="759"/>
      <c r="B68" s="760"/>
      <c r="C68" s="761"/>
      <c r="D68" s="793" t="s">
        <v>1608</v>
      </c>
      <c r="E68" s="757" t="s">
        <v>1584</v>
      </c>
      <c r="F68" s="794">
        <f ca="1">F41</f>
        <v>35.31</v>
      </c>
      <c r="O68" s="2210" t="s">
        <v>2169</v>
      </c>
      <c r="P68" s="2208" t="s">
        <v>2199</v>
      </c>
      <c r="Q68" s="2214">
        <f ca="1">L51</f>
        <v>1280</v>
      </c>
      <c r="R68" s="2215" t="s">
        <v>2202</v>
      </c>
    </row>
    <row r="69" spans="1:18" ht="20.25" thickBot="1">
      <c r="A69" s="763"/>
      <c r="B69" s="764"/>
      <c r="C69" s="765"/>
      <c r="D69" s="788"/>
      <c r="E69" s="757" t="s">
        <v>692</v>
      </c>
      <c r="F69" s="2180"/>
      <c r="O69" s="2210" t="s">
        <v>2170</v>
      </c>
      <c r="P69" s="2216" t="s">
        <v>2184</v>
      </c>
      <c r="Q69" s="2209">
        <f ca="1">ROUND(Q70-Q71*Q72,0)</f>
        <v>73</v>
      </c>
      <c r="R69" s="2212"/>
    </row>
    <row r="70" spans="1:18" ht="15.75" thickBot="1">
      <c r="A70" s="795" t="s">
        <v>1587</v>
      </c>
      <c r="B70" s="796" t="s">
        <v>1610</v>
      </c>
      <c r="C70" s="797">
        <f ca="1">ROUND(C67*10000/F70,0)</f>
        <v>-1088</v>
      </c>
      <c r="D70" s="798" t="s">
        <v>1611</v>
      </c>
      <c r="E70" s="799" t="s">
        <v>1612</v>
      </c>
      <c r="F70" s="800">
        <f ca="1">F43</f>
        <v>937.37</v>
      </c>
      <c r="O70" s="2210" t="s">
        <v>2185</v>
      </c>
      <c r="P70" s="2216" t="s">
        <v>2186</v>
      </c>
      <c r="Q70" s="2209">
        <f ca="1">C39</f>
        <v>110</v>
      </c>
      <c r="R70" s="2208" t="s">
        <v>2166</v>
      </c>
    </row>
    <row r="71" spans="1:18" ht="15.75" thickBot="1">
      <c r="O71" s="2210" t="s">
        <v>2187</v>
      </c>
      <c r="P71" s="2216" t="s">
        <v>2188</v>
      </c>
      <c r="Q71" s="2209">
        <f ca="1">C13</f>
        <v>462</v>
      </c>
      <c r="R71" s="2208" t="s">
        <v>2166</v>
      </c>
    </row>
    <row r="72" spans="1:18" ht="15.75" thickBot="1">
      <c r="O72" s="2210" t="s">
        <v>2189</v>
      </c>
      <c r="P72" s="2216" t="s">
        <v>2190</v>
      </c>
      <c r="Q72" s="2211">
        <f ca="1">J36</f>
        <v>0.08</v>
      </c>
      <c r="R72" s="2212"/>
    </row>
    <row r="73" spans="1:18" ht="15.75" thickBot="1">
      <c r="O73" s="2210" t="s">
        <v>2172</v>
      </c>
      <c r="P73" s="2208" t="s">
        <v>2179</v>
      </c>
      <c r="Q73" s="2211">
        <f>L52</f>
        <v>0</v>
      </c>
      <c r="R73" s="2212"/>
    </row>
    <row r="74" spans="1:18" ht="20.25" thickBot="1">
      <c r="O74" s="2210" t="s">
        <v>2174</v>
      </c>
      <c r="P74" s="2208" t="s">
        <v>2180</v>
      </c>
      <c r="Q74" s="2209" t="e">
        <f ca="1">L58</f>
        <v>#DIV/0!</v>
      </c>
      <c r="R74" s="2212" t="s">
        <v>2181</v>
      </c>
    </row>
    <row r="75" spans="1:18" ht="15.75" thickBot="1">
      <c r="O75" s="2210" t="s">
        <v>2203</v>
      </c>
      <c r="P75" s="2208" t="str">
        <f>K59</f>
        <v>建设期及建筑物耐用年限下的土地年期修正系数Kn</v>
      </c>
      <c r="Q75" s="2209" t="e">
        <f ca="1">L59</f>
        <v>#DIV/0!</v>
      </c>
      <c r="R75" s="2212" t="s">
        <v>2183</v>
      </c>
    </row>
    <row r="76" spans="1:18" ht="15.75" thickBot="1">
      <c r="O76" s="2207" t="s">
        <v>2177</v>
      </c>
      <c r="P76" s="2208" t="s">
        <v>2194</v>
      </c>
      <c r="Q76" s="2209">
        <f ca="1">Q66+Q67</f>
        <v>2336</v>
      </c>
      <c r="R76" s="2212"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2883</v>
      </c>
      <c r="B1" s="3225"/>
      <c r="C1" s="3238"/>
      <c r="D1" s="3238"/>
      <c r="E1" s="3226"/>
      <c r="F1" s="3227"/>
      <c r="G1" s="3228"/>
      <c r="J1" s="3231" t="s">
        <v>2740</v>
      </c>
      <c r="K1" s="3232"/>
      <c r="L1" s="3232"/>
      <c r="M1" s="3232"/>
      <c r="N1" s="3232"/>
      <c r="O1" s="3232"/>
      <c r="P1" s="3232"/>
      <c r="Q1" s="3232"/>
      <c r="R1" s="3233"/>
      <c r="S1" s="3234"/>
      <c r="T1" s="3234"/>
      <c r="U1" s="3234"/>
    </row>
    <row r="2" spans="1:22" s="3247" customFormat="1" ht="13.15" customHeight="1">
      <c r="A2" s="3236" t="s">
        <v>2741</v>
      </c>
      <c r="B2" s="3237" t="e">
        <f>C40</f>
        <v>#DIV/0!</v>
      </c>
      <c r="C2" s="3238" t="s">
        <v>2742</v>
      </c>
      <c r="D2" s="3238"/>
      <c r="E2" s="3239"/>
      <c r="F2" s="3240"/>
      <c r="G2" s="3241"/>
      <c r="H2" s="3242"/>
      <c r="I2" s="3243"/>
      <c r="J2" s="3845" t="s">
        <v>2743</v>
      </c>
      <c r="K2" s="3846"/>
      <c r="L2" s="3244" t="s">
        <v>2744</v>
      </c>
      <c r="M2" s="3244" t="s">
        <v>2745</v>
      </c>
      <c r="N2" s="3244" t="s">
        <v>2746</v>
      </c>
      <c r="O2" s="3244" t="s">
        <v>2747</v>
      </c>
      <c r="P2" s="3244" t="s">
        <v>2748</v>
      </c>
      <c r="Q2" s="3245" t="s">
        <v>2749</v>
      </c>
      <c r="R2" s="3246" t="s">
        <v>2750</v>
      </c>
      <c r="S2" s="3234"/>
      <c r="T2" s="3234"/>
      <c r="U2" s="3234"/>
      <c r="V2" s="3243"/>
    </row>
    <row r="3" spans="1:22" s="3247" customFormat="1" ht="13.15" customHeight="1">
      <c r="A3" s="3248" t="s">
        <v>2751</v>
      </c>
      <c r="B3" s="3249" t="e">
        <f>ROUND(B2*10000/B4,0)</f>
        <v>#DIV/0!</v>
      </c>
      <c r="C3" s="3238" t="s">
        <v>2752</v>
      </c>
      <c r="D3" s="3238"/>
      <c r="E3" s="3239"/>
      <c r="F3" s="3240"/>
      <c r="G3" s="3241"/>
      <c r="H3" s="3242"/>
      <c r="I3" s="3243"/>
      <c r="J3" s="3847" t="s">
        <v>2753</v>
      </c>
      <c r="K3" s="3848"/>
      <c r="L3" s="3250"/>
      <c r="M3" s="3250"/>
      <c r="N3" s="3250"/>
      <c r="O3" s="3250"/>
      <c r="P3" s="3250"/>
      <c r="Q3" s="3251"/>
      <c r="R3" s="3252">
        <f>SUM(L3:Q3)</f>
        <v>0</v>
      </c>
      <c r="S3" s="3234"/>
      <c r="T3" s="3234"/>
      <c r="U3" s="3234"/>
      <c r="V3" s="3243"/>
    </row>
    <row r="4" spans="1:22" s="3247" customFormat="1" ht="13.15" customHeight="1">
      <c r="A4" s="3253" t="s">
        <v>2754</v>
      </c>
      <c r="B4" s="3254"/>
      <c r="C4" s="3238"/>
      <c r="D4" s="3238"/>
      <c r="E4" s="3239"/>
      <c r="F4" s="3240"/>
      <c r="G4" s="3241"/>
      <c r="H4" s="3242"/>
      <c r="I4" s="3243"/>
      <c r="J4" s="3847" t="s">
        <v>2755</v>
      </c>
      <c r="K4" s="3848"/>
      <c r="L4" s="3255"/>
      <c r="M4" s="3255"/>
      <c r="N4" s="3255"/>
      <c r="O4" s="3255"/>
      <c r="P4" s="3255"/>
      <c r="Q4" s="3256"/>
      <c r="R4" s="3257">
        <f>SUM(L4:Q4)</f>
        <v>0</v>
      </c>
      <c r="S4" s="3234"/>
      <c r="T4" s="3234"/>
      <c r="U4" s="3234"/>
      <c r="V4" s="3243"/>
    </row>
    <row r="5" spans="1:22" s="3247" customFormat="1" ht="13.15" customHeight="1" thickBot="1">
      <c r="A5" s="3258" t="s">
        <v>2756</v>
      </c>
      <c r="B5" s="3259"/>
      <c r="C5" s="3238"/>
      <c r="D5" s="3260"/>
      <c r="E5" s="3240"/>
      <c r="F5" s="3240"/>
      <c r="G5" s="3241"/>
      <c r="H5" s="3242"/>
      <c r="I5" s="3243"/>
      <c r="J5" s="3261" t="s">
        <v>2757</v>
      </c>
      <c r="K5" s="3262"/>
      <c r="L5" s="3262"/>
      <c r="M5" s="3263"/>
      <c r="N5" s="3263"/>
      <c r="O5" s="3263"/>
      <c r="P5" s="3263"/>
      <c r="Q5" s="3263"/>
      <c r="R5" s="3246">
        <f>SUM(R14,R19,R24,R25,R27,R28)</f>
        <v>0</v>
      </c>
      <c r="S5" s="3234"/>
      <c r="T5" s="3234" t="s">
        <v>2758</v>
      </c>
      <c r="U5" s="3234" t="e">
        <f>ROUND(R5*10000/365/R3,1)</f>
        <v>#DIV/0!</v>
      </c>
      <c r="V5" s="3243"/>
    </row>
    <row r="6" spans="1:22" s="3247" customFormat="1" ht="13.15" customHeight="1" thickBot="1">
      <c r="A6" s="3849" t="s">
        <v>2759</v>
      </c>
      <c r="B6" s="3850"/>
      <c r="C6" s="3851"/>
      <c r="D6" s="3264"/>
      <c r="E6" s="3265"/>
      <c r="F6" s="3266"/>
      <c r="G6" s="3267"/>
      <c r="H6" s="3242"/>
      <c r="I6" s="3243"/>
      <c r="J6" s="3852">
        <v>1</v>
      </c>
      <c r="K6" s="3853" t="s">
        <v>2760</v>
      </c>
      <c r="L6" s="3268" t="s">
        <v>2761</v>
      </c>
      <c r="M6" s="3269" t="s">
        <v>2762</v>
      </c>
      <c r="N6" s="3269" t="s">
        <v>2763</v>
      </c>
      <c r="O6" s="3269" t="s">
        <v>2764</v>
      </c>
      <c r="P6" s="3269" t="s">
        <v>2765</v>
      </c>
      <c r="Q6" s="3269" t="s">
        <v>2766</v>
      </c>
      <c r="R6" s="3252" t="s">
        <v>2767</v>
      </c>
      <c r="S6" s="3234"/>
      <c r="T6" s="3234" t="s">
        <v>2768</v>
      </c>
      <c r="U6" s="3234"/>
      <c r="V6" s="3243"/>
    </row>
    <row r="7" spans="1:22" s="3247" customFormat="1" ht="13.15" customHeight="1">
      <c r="A7" s="3270" t="s">
        <v>2769</v>
      </c>
      <c r="B7" s="3271"/>
      <c r="C7" s="3272"/>
      <c r="D7" s="3273">
        <f>SUM(D9,D10,D11,D17,0)</f>
        <v>0</v>
      </c>
      <c r="E7" s="3274" t="e">
        <f>E9+E10+E11+E17</f>
        <v>#DIV/0!</v>
      </c>
      <c r="F7" s="3275"/>
      <c r="G7" s="3276"/>
      <c r="H7" s="3242"/>
      <c r="I7" s="3243"/>
      <c r="J7" s="3852"/>
      <c r="K7" s="3854"/>
      <c r="L7" s="3277" t="s">
        <v>2770</v>
      </c>
      <c r="M7" s="3278"/>
      <c r="N7" s="3254"/>
      <c r="O7" s="3279"/>
      <c r="P7" s="3279"/>
      <c r="Q7" s="3280">
        <v>365</v>
      </c>
      <c r="R7" s="3281">
        <f>ROUND(M7*N7*O7*P7*Q7/10000,0)</f>
        <v>0</v>
      </c>
      <c r="S7" s="3234"/>
      <c r="T7" s="3234" t="s">
        <v>2771</v>
      </c>
      <c r="U7" s="3234"/>
      <c r="V7" s="3243"/>
    </row>
    <row r="8" spans="1:22" s="3247" customFormat="1" ht="13.15" customHeight="1">
      <c r="A8" s="3282" t="s">
        <v>2772</v>
      </c>
      <c r="B8" s="3856" t="s">
        <v>2773</v>
      </c>
      <c r="C8" s="3857"/>
      <c r="D8" s="3283" t="s">
        <v>2774</v>
      </c>
      <c r="E8" s="3284" t="s">
        <v>2775</v>
      </c>
      <c r="F8" s="3285" t="s">
        <v>2776</v>
      </c>
      <c r="G8" s="3286"/>
      <c r="H8" s="3242"/>
      <c r="I8" s="3243"/>
      <c r="J8" s="3852"/>
      <c r="K8" s="3854"/>
      <c r="L8" s="3277" t="s">
        <v>2777</v>
      </c>
      <c r="M8" s="3278"/>
      <c r="N8" s="3254"/>
      <c r="O8" s="3279"/>
      <c r="P8" s="3279"/>
      <c r="Q8" s="3280">
        <v>365</v>
      </c>
      <c r="R8" s="3281">
        <f t="shared" ref="R8:R13" si="0">ROUND(M8*N8*O8*P8*Q8/10000,0)</f>
        <v>0</v>
      </c>
      <c r="S8" s="3234"/>
      <c r="T8" s="3234" t="s">
        <v>2778</v>
      </c>
      <c r="U8" s="3234"/>
      <c r="V8" s="3243"/>
    </row>
    <row r="9" spans="1:22" s="3247" customFormat="1" ht="13.15" customHeight="1">
      <c r="A9" s="3282">
        <v>1</v>
      </c>
      <c r="B9" s="3856" t="s">
        <v>2779</v>
      </c>
      <c r="C9" s="3857"/>
      <c r="D9" s="3283">
        <f>ROUND(D6*E9,0)</f>
        <v>0</v>
      </c>
      <c r="E9" s="3287"/>
      <c r="F9" s="3288" t="s">
        <v>2780</v>
      </c>
      <c r="G9" s="3267"/>
      <c r="H9" s="3242"/>
      <c r="I9" s="3243"/>
      <c r="J9" s="3852"/>
      <c r="K9" s="3854"/>
      <c r="L9" s="3277" t="s">
        <v>2781</v>
      </c>
      <c r="M9" s="3278"/>
      <c r="N9" s="3254"/>
      <c r="O9" s="3279"/>
      <c r="P9" s="3279"/>
      <c r="Q9" s="3280">
        <v>365</v>
      </c>
      <c r="R9" s="3281">
        <f t="shared" si="0"/>
        <v>0</v>
      </c>
      <c r="S9" s="3234"/>
      <c r="T9" s="3234"/>
      <c r="U9" s="3234"/>
      <c r="V9" s="3243"/>
    </row>
    <row r="10" spans="1:22" s="3247" customFormat="1" ht="13.15" customHeight="1">
      <c r="A10" s="3282">
        <v>2</v>
      </c>
      <c r="B10" s="3856" t="s">
        <v>2782</v>
      </c>
      <c r="C10" s="3857"/>
      <c r="D10" s="3283">
        <f>ROUND(D6*E10,0)</f>
        <v>0</v>
      </c>
      <c r="E10" s="3287"/>
      <c r="F10" s="3288" t="s">
        <v>2783</v>
      </c>
      <c r="G10" s="3267"/>
      <c r="H10" s="3242"/>
      <c r="I10" s="3243"/>
      <c r="J10" s="3852"/>
      <c r="K10" s="3854"/>
      <c r="L10" s="3277" t="s">
        <v>2784</v>
      </c>
      <c r="M10" s="3278"/>
      <c r="N10" s="3254"/>
      <c r="O10" s="3279"/>
      <c r="P10" s="3279"/>
      <c r="Q10" s="3280">
        <v>365</v>
      </c>
      <c r="R10" s="3281">
        <f t="shared" si="0"/>
        <v>0</v>
      </c>
      <c r="S10" s="3234"/>
      <c r="T10" s="3234"/>
      <c r="U10" s="3234"/>
      <c r="V10" s="3243"/>
    </row>
    <row r="11" spans="1:22" s="3247" customFormat="1" ht="13.15" customHeight="1">
      <c r="A11" s="3282">
        <v>3</v>
      </c>
      <c r="B11" s="3856" t="s">
        <v>2785</v>
      </c>
      <c r="C11" s="3857"/>
      <c r="D11" s="3283">
        <f>D12+D14+D15+D16</f>
        <v>0</v>
      </c>
      <c r="E11" s="3289" t="e">
        <f>D11/D6</f>
        <v>#DIV/0!</v>
      </c>
      <c r="F11" s="3285"/>
      <c r="G11" s="3286"/>
      <c r="H11" s="3242"/>
      <c r="I11" s="3243"/>
      <c r="J11" s="3852"/>
      <c r="K11" s="3854"/>
      <c r="L11" s="3277" t="s">
        <v>2786</v>
      </c>
      <c r="M11" s="3278"/>
      <c r="N11" s="3254"/>
      <c r="O11" s="3279"/>
      <c r="P11" s="3279"/>
      <c r="Q11" s="3280">
        <v>365</v>
      </c>
      <c r="R11" s="3281">
        <f t="shared" si="0"/>
        <v>0</v>
      </c>
      <c r="S11" s="3234"/>
      <c r="T11" s="3234"/>
      <c r="U11" s="3234"/>
      <c r="V11" s="3243"/>
    </row>
    <row r="12" spans="1:22" s="3247" customFormat="1" ht="13.15" customHeight="1">
      <c r="A12" s="3290" t="s">
        <v>2787</v>
      </c>
      <c r="B12" s="3858" t="s">
        <v>2788</v>
      </c>
      <c r="C12" s="3859"/>
      <c r="D12" s="3291">
        <f>ROUND(D13*1.2%*(1-30%),0)</f>
        <v>0</v>
      </c>
      <c r="E12" s="3292">
        <v>1.2E-2</v>
      </c>
      <c r="F12" s="3285" t="s">
        <v>2789</v>
      </c>
      <c r="G12" s="3286"/>
      <c r="H12" s="3242"/>
      <c r="I12" s="3243"/>
      <c r="J12" s="3852"/>
      <c r="K12" s="3854"/>
      <c r="L12" s="3277" t="s">
        <v>2790</v>
      </c>
      <c r="M12" s="3278"/>
      <c r="N12" s="3254"/>
      <c r="O12" s="3279"/>
      <c r="P12" s="3279"/>
      <c r="Q12" s="3280">
        <v>365</v>
      </c>
      <c r="R12" s="3281">
        <f t="shared" si="0"/>
        <v>0</v>
      </c>
      <c r="S12" s="3234"/>
      <c r="T12" s="3234"/>
      <c r="U12" s="3234"/>
      <c r="V12" s="3243"/>
    </row>
    <row r="13" spans="1:22" s="3247" customFormat="1" ht="13.15" customHeight="1">
      <c r="A13" s="3290"/>
      <c r="B13" s="3293"/>
      <c r="C13" s="3294" t="s">
        <v>2791</v>
      </c>
      <c r="D13" s="3295"/>
      <c r="E13" s="3296"/>
      <c r="F13" s="3285"/>
      <c r="G13" s="3286"/>
      <c r="H13" s="3242"/>
      <c r="I13" s="3243"/>
      <c r="J13" s="3852"/>
      <c r="K13" s="3854"/>
      <c r="L13" s="3277" t="s">
        <v>2792</v>
      </c>
      <c r="M13" s="3278"/>
      <c r="N13" s="3254"/>
      <c r="O13" s="3279"/>
      <c r="P13" s="3279"/>
      <c r="Q13" s="3280">
        <v>365</v>
      </c>
      <c r="R13" s="3281">
        <f t="shared" si="0"/>
        <v>0</v>
      </c>
      <c r="S13" s="3234"/>
      <c r="T13" s="3234"/>
      <c r="U13" s="3234"/>
      <c r="V13" s="3243"/>
    </row>
    <row r="14" spans="1:22" s="3247" customFormat="1" ht="13.15" customHeight="1">
      <c r="A14" s="3290" t="s">
        <v>2793</v>
      </c>
      <c r="B14" s="3858" t="s">
        <v>2794</v>
      </c>
      <c r="C14" s="3859"/>
      <c r="D14" s="3291">
        <f>ROUND(E14*B5/10000,0)</f>
        <v>0</v>
      </c>
      <c r="E14" s="3280"/>
      <c r="F14" s="3285" t="s">
        <v>2795</v>
      </c>
      <c r="G14" s="3286"/>
      <c r="H14" s="3242"/>
      <c r="I14" s="3243"/>
      <c r="J14" s="3852"/>
      <c r="K14" s="3855"/>
      <c r="L14" s="3297" t="s">
        <v>2796</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2797</v>
      </c>
      <c r="B15" s="3858" t="s">
        <v>2798</v>
      </c>
      <c r="C15" s="3859"/>
      <c r="D15" s="3291">
        <f>ROUND(D6*E15,0)</f>
        <v>0</v>
      </c>
      <c r="E15" s="3292">
        <v>5.5E-2</v>
      </c>
      <c r="F15" s="3285" t="s">
        <v>2799</v>
      </c>
      <c r="G15" s="3267"/>
      <c r="H15" s="3242"/>
      <c r="I15" s="3243"/>
      <c r="J15" s="3852">
        <v>2</v>
      </c>
      <c r="K15" s="3853" t="s">
        <v>2800</v>
      </c>
      <c r="L15" s="3277" t="s">
        <v>2801</v>
      </c>
      <c r="M15" s="3278" t="s">
        <v>2802</v>
      </c>
      <c r="N15" s="3278" t="s">
        <v>2803</v>
      </c>
      <c r="O15" s="3279" t="s">
        <v>2804</v>
      </c>
      <c r="P15" s="3279" t="s">
        <v>2805</v>
      </c>
      <c r="Q15" s="3254" t="s">
        <v>2806</v>
      </c>
      <c r="R15" s="3301" t="s">
        <v>2807</v>
      </c>
      <c r="S15" s="3234"/>
      <c r="T15" s="3234"/>
      <c r="U15" s="3234"/>
      <c r="V15" s="3243"/>
    </row>
    <row r="16" spans="1:22" s="3247" customFormat="1" ht="13.15" customHeight="1">
      <c r="A16" s="3290" t="s">
        <v>2808</v>
      </c>
      <c r="B16" s="3858" t="s">
        <v>2809</v>
      </c>
      <c r="C16" s="3859"/>
      <c r="D16" s="3302">
        <f>D6*E16</f>
        <v>0</v>
      </c>
      <c r="E16" s="3303"/>
      <c r="F16" s="3288" t="s">
        <v>2810</v>
      </c>
      <c r="G16" s="3267"/>
      <c r="H16" s="3242"/>
      <c r="I16" s="3243"/>
      <c r="J16" s="3852"/>
      <c r="K16" s="3854"/>
      <c r="L16" s="3277" t="s">
        <v>2811</v>
      </c>
      <c r="M16" s="3278"/>
      <c r="N16" s="3278"/>
      <c r="O16" s="3279"/>
      <c r="P16" s="3280">
        <v>365</v>
      </c>
      <c r="Q16" s="3254"/>
      <c r="R16" s="3301">
        <f>ROUND(M16*N16*O16*P16/10000,0)</f>
        <v>0</v>
      </c>
      <c r="S16" s="3234"/>
      <c r="T16" s="3234"/>
      <c r="U16" s="3234"/>
      <c r="V16" s="3243"/>
    </row>
    <row r="17" spans="1:22" s="3247" customFormat="1" ht="13.15" customHeight="1" thickBot="1">
      <c r="A17" s="3304">
        <v>4</v>
      </c>
      <c r="B17" s="3860" t="s">
        <v>2812</v>
      </c>
      <c r="C17" s="3861"/>
      <c r="D17" s="3305">
        <f>ROUND(D6*E17,0)</f>
        <v>0</v>
      </c>
      <c r="E17" s="3306"/>
      <c r="F17" s="3307" t="s">
        <v>2813</v>
      </c>
      <c r="G17" s="3267"/>
      <c r="H17" s="3242"/>
      <c r="I17" s="3243"/>
      <c r="J17" s="3852"/>
      <c r="K17" s="3854"/>
      <c r="L17" s="3277" t="s">
        <v>2814</v>
      </c>
      <c r="M17" s="3278"/>
      <c r="N17" s="3278"/>
      <c r="O17" s="3279"/>
      <c r="P17" s="3280">
        <v>365</v>
      </c>
      <c r="Q17" s="3254"/>
      <c r="R17" s="3301">
        <f>ROUND(M17*N17*O17*P17/10000,0)</f>
        <v>0</v>
      </c>
      <c r="S17" s="3234"/>
      <c r="T17" s="3234"/>
      <c r="U17" s="3234"/>
      <c r="V17" s="3243"/>
    </row>
    <row r="18" spans="1:22" s="3247" customFormat="1" ht="13.15" customHeight="1" thickBot="1">
      <c r="A18" s="3270" t="s">
        <v>2815</v>
      </c>
      <c r="B18" s="3271"/>
      <c r="C18" s="3271"/>
      <c r="D18" s="3308">
        <f>ROUND(D6*E18,0)</f>
        <v>0</v>
      </c>
      <c r="E18" s="3309"/>
      <c r="F18" s="3310" t="s">
        <v>2816</v>
      </c>
      <c r="G18" s="3267"/>
      <c r="H18" s="3242"/>
      <c r="I18" s="3243"/>
      <c r="J18" s="3852"/>
      <c r="K18" s="3854"/>
      <c r="L18" s="3277" t="s">
        <v>2817</v>
      </c>
      <c r="M18" s="3278"/>
      <c r="N18" s="3278"/>
      <c r="O18" s="3279"/>
      <c r="P18" s="3280">
        <v>365</v>
      </c>
      <c r="Q18" s="3254"/>
      <c r="R18" s="3301">
        <f>ROUND(M18*N18*O18*P18/10000,0)</f>
        <v>0</v>
      </c>
      <c r="S18" s="3234"/>
      <c r="T18" s="3234"/>
      <c r="U18" s="3234"/>
      <c r="V18" s="3243"/>
    </row>
    <row r="19" spans="1:22" s="3247" customFormat="1" ht="13.15" customHeight="1" thickBot="1">
      <c r="A19" s="3311" t="s">
        <v>2818</v>
      </c>
      <c r="B19" s="3265"/>
      <c r="C19" s="3265"/>
      <c r="D19" s="3265"/>
      <c r="E19" s="3265"/>
      <c r="F19" s="3266"/>
      <c r="G19" s="3286"/>
      <c r="H19" s="3242"/>
      <c r="I19" s="3243"/>
      <c r="J19" s="3852"/>
      <c r="K19" s="3855"/>
      <c r="L19" s="3297" t="s">
        <v>2796</v>
      </c>
      <c r="M19" s="3298"/>
      <c r="N19" s="3298">
        <f>SUM(N16:N18)</f>
        <v>0</v>
      </c>
      <c r="O19" s="3299"/>
      <c r="P19" s="3312" t="s">
        <v>2884</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852">
        <v>3</v>
      </c>
      <c r="K20" s="3853" t="s">
        <v>2819</v>
      </c>
      <c r="L20" s="3277" t="s">
        <v>2820</v>
      </c>
      <c r="M20" s="3278" t="s">
        <v>2821</v>
      </c>
      <c r="N20" s="3315" t="s">
        <v>2822</v>
      </c>
      <c r="O20" s="3279" t="s">
        <v>2823</v>
      </c>
      <c r="P20" s="3280" t="s">
        <v>2824</v>
      </c>
      <c r="Q20" s="3254" t="s">
        <v>2825</v>
      </c>
      <c r="R20" s="3301" t="s">
        <v>2767</v>
      </c>
      <c r="S20" s="3316"/>
      <c r="T20" s="3316"/>
      <c r="U20" s="3316"/>
      <c r="V20" s="3243"/>
    </row>
    <row r="21" spans="1:22" s="3247" customFormat="1" ht="13.15" customHeight="1">
      <c r="A21" s="3270"/>
      <c r="B21" s="3271"/>
      <c r="C21" s="3317" t="s">
        <v>2826</v>
      </c>
      <c r="D21" s="3318" t="s">
        <v>2827</v>
      </c>
      <c r="E21" s="3319" t="s">
        <v>2828</v>
      </c>
      <c r="F21" s="3314"/>
      <c r="G21" s="3286"/>
      <c r="H21" s="3242"/>
      <c r="I21" s="3243"/>
      <c r="J21" s="3852"/>
      <c r="K21" s="3854"/>
      <c r="L21" s="3277" t="s">
        <v>2829</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2830</v>
      </c>
      <c r="D22" s="3322" t="s">
        <v>2831</v>
      </c>
      <c r="E22" s="3323" t="s">
        <v>2832</v>
      </c>
      <c r="F22" s="3314"/>
      <c r="G22" s="3324"/>
      <c r="H22" s="3242"/>
      <c r="I22" s="3243"/>
      <c r="J22" s="3852"/>
      <c r="K22" s="3854"/>
      <c r="L22" s="3277" t="s">
        <v>2833</v>
      </c>
      <c r="M22" s="3278"/>
      <c r="N22" s="3278"/>
      <c r="O22" s="3279"/>
      <c r="P22" s="3280">
        <v>365</v>
      </c>
      <c r="Q22" s="3254"/>
      <c r="R22" s="3320">
        <f>ROUND(M22*N22*O22*P22/10000,0)</f>
        <v>0</v>
      </c>
      <c r="S22" s="3316"/>
      <c r="T22" s="3316"/>
      <c r="U22" s="3316"/>
      <c r="V22" s="3243"/>
    </row>
    <row r="23" spans="1:22" s="3247" customFormat="1" ht="13.15" customHeight="1">
      <c r="A23" s="3325">
        <v>1</v>
      </c>
      <c r="B23" s="3326" t="s">
        <v>2834</v>
      </c>
      <c r="C23" s="3327">
        <f>D6</f>
        <v>0</v>
      </c>
      <c r="D23" s="3328">
        <f>C23*(1+D24)</f>
        <v>0</v>
      </c>
      <c r="E23" s="3329">
        <f>D23*(1+E24)</f>
        <v>0</v>
      </c>
      <c r="F23" s="3330"/>
      <c r="G23" s="3331"/>
      <c r="H23" s="3242"/>
      <c r="I23" s="3243"/>
      <c r="J23" s="3852"/>
      <c r="K23" s="3854"/>
      <c r="L23" s="3277" t="s">
        <v>2835</v>
      </c>
      <c r="M23" s="3278"/>
      <c r="N23" s="3278"/>
      <c r="O23" s="3279"/>
      <c r="P23" s="3280">
        <v>365</v>
      </c>
      <c r="Q23" s="3254"/>
      <c r="R23" s="3320">
        <f>ROUND(M23*N23*O23*P23/10000,0)</f>
        <v>0</v>
      </c>
      <c r="S23" s="3234"/>
      <c r="T23" s="3234"/>
      <c r="U23" s="3234"/>
      <c r="V23" s="3243"/>
    </row>
    <row r="24" spans="1:22" s="3247" customFormat="1" ht="13.15" customHeight="1">
      <c r="A24" s="3332"/>
      <c r="B24" s="3333" t="s">
        <v>2836</v>
      </c>
      <c r="C24" s="3334"/>
      <c r="D24" s="3335"/>
      <c r="E24" s="3336"/>
      <c r="F24" s="3337"/>
      <c r="G24" s="3331"/>
      <c r="H24" s="3242"/>
      <c r="I24" s="3243"/>
      <c r="J24" s="3852"/>
      <c r="K24" s="3855"/>
      <c r="L24" s="3297" t="s">
        <v>2796</v>
      </c>
      <c r="M24" s="3298">
        <f>SUM(M21:M23)</f>
        <v>0</v>
      </c>
      <c r="N24" s="3298"/>
      <c r="O24" s="3299"/>
      <c r="P24" s="3312" t="s">
        <v>2884</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2837</v>
      </c>
      <c r="L25" s="3340"/>
      <c r="M25" s="3340"/>
      <c r="N25" s="3340"/>
      <c r="O25" s="3340"/>
      <c r="P25" s="3341"/>
      <c r="Q25" s="3342"/>
      <c r="R25" s="3313">
        <f>ROUND(R14*Q25,0)</f>
        <v>0</v>
      </c>
      <c r="S25" s="3234"/>
      <c r="T25" s="3234"/>
      <c r="U25" s="3234"/>
      <c r="V25" s="3343"/>
    </row>
    <row r="26" spans="1:22" s="3344" customFormat="1" ht="13.15" customHeight="1">
      <c r="A26" s="3325">
        <v>2</v>
      </c>
      <c r="B26" s="3326" t="s">
        <v>2838</v>
      </c>
      <c r="C26" s="3327">
        <f>D7</f>
        <v>0</v>
      </c>
      <c r="D26" s="3328">
        <f>D23*D27</f>
        <v>0</v>
      </c>
      <c r="E26" s="3329">
        <f>E23*E27</f>
        <v>0</v>
      </c>
      <c r="F26" s="3330"/>
      <c r="G26" s="3331"/>
      <c r="H26" s="3242"/>
      <c r="I26" s="3243"/>
      <c r="J26" s="3862">
        <v>5</v>
      </c>
      <c r="K26" s="3345" t="s">
        <v>2839</v>
      </c>
      <c r="L26" s="3346"/>
      <c r="M26" s="3347"/>
      <c r="N26" s="3348" t="s">
        <v>2840</v>
      </c>
      <c r="O26" s="3348" t="s">
        <v>2841</v>
      </c>
      <c r="P26" s="3349" t="s">
        <v>2842</v>
      </c>
      <c r="Q26" s="3349" t="s">
        <v>2843</v>
      </c>
      <c r="R26" s="3252" t="s">
        <v>2844</v>
      </c>
      <c r="S26" s="3350"/>
      <c r="T26" s="3350"/>
      <c r="U26" s="3350"/>
      <c r="V26" s="3343"/>
    </row>
    <row r="27" spans="1:22" s="3247" customFormat="1" ht="13.15" customHeight="1">
      <c r="A27" s="3332"/>
      <c r="B27" s="3333" t="s">
        <v>2845</v>
      </c>
      <c r="C27" s="3351" t="e">
        <f>E7</f>
        <v>#DIV/0!</v>
      </c>
      <c r="D27" s="3335"/>
      <c r="E27" s="3336"/>
      <c r="F27" s="3337"/>
      <c r="G27" s="3331"/>
      <c r="H27" s="3352"/>
      <c r="I27" s="3343"/>
      <c r="J27" s="3863"/>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2846</v>
      </c>
      <c r="F28" s="3337"/>
      <c r="G28" s="3324"/>
      <c r="H28" s="3352"/>
      <c r="I28" s="3343"/>
      <c r="J28" s="3358">
        <v>6</v>
      </c>
      <c r="K28" s="3359" t="s">
        <v>2847</v>
      </c>
      <c r="L28" s="3360" t="s">
        <v>2848</v>
      </c>
      <c r="M28" s="3361"/>
      <c r="N28" s="3360" t="s">
        <v>2849</v>
      </c>
      <c r="O28" s="3362"/>
      <c r="P28" s="3360" t="s">
        <v>2850</v>
      </c>
      <c r="Q28" s="3363">
        <v>1.4999999999999999E-2</v>
      </c>
      <c r="R28" s="3364"/>
      <c r="S28" s="3316"/>
      <c r="T28" s="3316"/>
      <c r="U28" s="3316"/>
      <c r="V28" s="3343"/>
    </row>
    <row r="29" spans="1:22" s="3344" customFormat="1" ht="13.15" customHeight="1">
      <c r="A29" s="3325">
        <v>3</v>
      </c>
      <c r="B29" s="3326" t="s">
        <v>2851</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2852</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2853</v>
      </c>
      <c r="K31" s="3232"/>
      <c r="L31" s="3232"/>
      <c r="M31" s="3232"/>
      <c r="N31" s="3232"/>
      <c r="O31" s="3232"/>
      <c r="P31" s="3232"/>
      <c r="Q31" s="3232"/>
      <c r="R31" s="3233"/>
      <c r="S31" s="3316"/>
      <c r="T31" s="3234"/>
      <c r="U31" s="3234"/>
      <c r="V31" s="3343"/>
    </row>
    <row r="32" spans="1:22" s="3344" customFormat="1" ht="13.15" customHeight="1">
      <c r="A32" s="3325">
        <v>4</v>
      </c>
      <c r="B32" s="3326" t="s">
        <v>2854</v>
      </c>
      <c r="C32" s="3327">
        <f>C23-C26-C29</f>
        <v>0</v>
      </c>
      <c r="D32" s="3328">
        <f>D23-D26-D29</f>
        <v>0</v>
      </c>
      <c r="E32" s="3329">
        <f>E23-E26-E29</f>
        <v>0</v>
      </c>
      <c r="F32" s="3330"/>
      <c r="G32" s="3324"/>
      <c r="H32" s="3242"/>
      <c r="I32" s="3243"/>
      <c r="J32" s="3845" t="s">
        <v>2855</v>
      </c>
      <c r="K32" s="3846"/>
      <c r="L32" s="3244" t="s">
        <v>2856</v>
      </c>
      <c r="M32" s="3244" t="s">
        <v>2745</v>
      </c>
      <c r="N32" s="3244" t="s">
        <v>2746</v>
      </c>
      <c r="O32" s="3244" t="s">
        <v>2747</v>
      </c>
      <c r="P32" s="3244" t="s">
        <v>2748</v>
      </c>
      <c r="Q32" s="3245" t="s">
        <v>2857</v>
      </c>
      <c r="R32" s="3367" t="s">
        <v>2858</v>
      </c>
      <c r="S32" s="3316"/>
      <c r="T32" s="3234"/>
      <c r="U32" s="3234"/>
      <c r="V32" s="3343"/>
    </row>
    <row r="33" spans="1:23" s="3247" customFormat="1" ht="13.15" customHeight="1">
      <c r="A33" s="3325"/>
      <c r="B33" s="3326"/>
      <c r="C33" s="3327"/>
      <c r="D33" s="3368"/>
      <c r="E33" s="3369"/>
      <c r="F33" s="3330"/>
      <c r="G33" s="3324"/>
      <c r="H33" s="3352"/>
      <c r="I33" s="3343"/>
      <c r="J33" s="3847" t="s">
        <v>2859</v>
      </c>
      <c r="K33" s="3848"/>
      <c r="L33" s="3250"/>
      <c r="M33" s="3250"/>
      <c r="N33" s="3250"/>
      <c r="O33" s="3250"/>
      <c r="P33" s="3250"/>
      <c r="Q33" s="3251"/>
      <c r="R33" s="3370">
        <f>SUM(L33:Q33)</f>
        <v>0</v>
      </c>
      <c r="S33" s="3316"/>
      <c r="T33" s="3234"/>
      <c r="U33" s="3234"/>
      <c r="V33" s="3243"/>
    </row>
    <row r="34" spans="1:23" s="3247" customFormat="1" ht="13.15" customHeight="1">
      <c r="A34" s="3325">
        <v>5</v>
      </c>
      <c r="B34" s="3326" t="s">
        <v>2860</v>
      </c>
      <c r="C34" s="3371"/>
      <c r="D34" s="3372"/>
      <c r="E34" s="3373"/>
      <c r="F34" s="3330"/>
      <c r="G34" s="3324"/>
      <c r="H34" s="3352"/>
      <c r="I34" s="3343"/>
      <c r="J34" s="3847" t="s">
        <v>2861</v>
      </c>
      <c r="K34" s="3848"/>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2862</v>
      </c>
      <c r="C35" s="3375"/>
      <c r="D35" s="3376"/>
      <c r="E35" s="3377"/>
      <c r="F35" s="3330"/>
      <c r="G35" s="3378"/>
      <c r="H35" s="3242"/>
      <c r="I35" s="3343"/>
      <c r="J35" s="3261" t="s">
        <v>2863</v>
      </c>
      <c r="K35" s="3262"/>
      <c r="L35" s="3262"/>
      <c r="M35" s="3263"/>
      <c r="N35" s="3263"/>
      <c r="O35" s="3263"/>
      <c r="P35" s="3263"/>
      <c r="Q35" s="3263"/>
      <c r="R35" s="3379">
        <f>R40+R41+R43</f>
        <v>0</v>
      </c>
      <c r="S35" s="3316"/>
      <c r="T35" s="3234" t="s">
        <v>2864</v>
      </c>
      <c r="U35" s="3234"/>
      <c r="V35" s="3243"/>
    </row>
    <row r="36" spans="1:23" s="3247" customFormat="1" ht="13.15" customHeight="1" thickBot="1">
      <c r="A36" s="3325">
        <v>7</v>
      </c>
      <c r="B36" s="3380" t="s">
        <v>2865</v>
      </c>
      <c r="C36" s="3381"/>
      <c r="D36" s="3382"/>
      <c r="E36" s="3383"/>
      <c r="F36" s="3384">
        <f>C36+D36+E36</f>
        <v>0</v>
      </c>
      <c r="G36" s="3324"/>
      <c r="H36" s="3242"/>
      <c r="I36" s="3243"/>
      <c r="J36" s="3852">
        <v>1</v>
      </c>
      <c r="K36" s="3853" t="s">
        <v>2866</v>
      </c>
      <c r="L36" s="3268"/>
      <c r="M36" s="3269"/>
      <c r="N36" s="3269"/>
      <c r="O36" s="3269"/>
      <c r="P36" s="3269"/>
      <c r="Q36" s="3269"/>
      <c r="R36" s="3252" t="s">
        <v>2767</v>
      </c>
      <c r="S36" s="3316"/>
      <c r="T36" s="3234" t="s">
        <v>2768</v>
      </c>
      <c r="U36" s="3234"/>
      <c r="V36" s="3243"/>
    </row>
    <row r="37" spans="1:23" s="3247" customFormat="1" ht="13.15" customHeight="1">
      <c r="A37" s="3325"/>
      <c r="B37" s="3326"/>
      <c r="C37" s="3326"/>
      <c r="D37" s="3326"/>
      <c r="E37" s="3326"/>
      <c r="F37" s="3330"/>
      <c r="G37" s="3324"/>
      <c r="H37" s="3242"/>
      <c r="I37" s="3243"/>
      <c r="J37" s="3852"/>
      <c r="K37" s="3854"/>
      <c r="L37" s="3277"/>
      <c r="M37" s="3278"/>
      <c r="N37" s="3254"/>
      <c r="O37" s="3279"/>
      <c r="P37" s="3279"/>
      <c r="Q37" s="3280"/>
      <c r="R37" s="3281"/>
      <c r="S37" s="3316"/>
      <c r="T37" s="3234" t="s">
        <v>2771</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852"/>
      <c r="K38" s="3854"/>
      <c r="L38" s="3277"/>
      <c r="M38" s="3278"/>
      <c r="N38" s="3254"/>
      <c r="O38" s="3279"/>
      <c r="P38" s="3279"/>
      <c r="Q38" s="3280"/>
      <c r="R38" s="3281"/>
      <c r="S38" s="3316"/>
      <c r="T38" s="3234" t="s">
        <v>2778</v>
      </c>
      <c r="U38" s="3234"/>
      <c r="V38" s="3243"/>
    </row>
    <row r="39" spans="1:23" s="3247" customFormat="1" ht="13.15" customHeight="1">
      <c r="A39" s="3325">
        <v>9</v>
      </c>
      <c r="B39" s="3326" t="s">
        <v>2867</v>
      </c>
      <c r="C39" s="3291" t="e">
        <f>C38</f>
        <v>#DIV/0!</v>
      </c>
      <c r="D39" s="3326">
        <f>D38/(1+D34)^C36</f>
        <v>0</v>
      </c>
      <c r="E39" s="3326">
        <f>E38/(1+E34)^(C36+D36)</f>
        <v>0</v>
      </c>
      <c r="F39" s="3330"/>
      <c r="G39" s="3385"/>
      <c r="H39" s="3242"/>
      <c r="I39" s="3243"/>
      <c r="J39" s="3852"/>
      <c r="K39" s="3854"/>
      <c r="L39" s="3277"/>
      <c r="M39" s="3278"/>
      <c r="N39" s="3254"/>
      <c r="O39" s="3279"/>
      <c r="P39" s="3279"/>
      <c r="Q39" s="3280"/>
      <c r="R39" s="3281"/>
      <c r="S39" s="3316"/>
      <c r="T39" s="3234"/>
      <c r="U39" s="3234"/>
      <c r="V39" s="3243"/>
    </row>
    <row r="40" spans="1:23" s="3247" customFormat="1" ht="13.15" customHeight="1">
      <c r="A40" s="3386">
        <v>10</v>
      </c>
      <c r="B40" s="3326" t="s">
        <v>2868</v>
      </c>
      <c r="C40" s="3387" t="e">
        <f>C39+D39+E39</f>
        <v>#DIV/0!</v>
      </c>
      <c r="D40" s="3388"/>
      <c r="E40" s="3388"/>
      <c r="F40" s="3389"/>
      <c r="G40" s="3324"/>
      <c r="H40" s="3242"/>
      <c r="I40" s="3243"/>
      <c r="J40" s="3852"/>
      <c r="K40" s="3855"/>
      <c r="L40" s="3297" t="s">
        <v>2869</v>
      </c>
      <c r="M40" s="3298"/>
      <c r="N40" s="3298"/>
      <c r="O40" s="3299"/>
      <c r="P40" s="3299"/>
      <c r="Q40" s="3300"/>
      <c r="R40" s="3246">
        <f>SUM(R37:R39)</f>
        <v>0</v>
      </c>
      <c r="S40" s="3316"/>
      <c r="T40" s="3234"/>
      <c r="U40" s="3234"/>
      <c r="V40" s="3243"/>
    </row>
    <row r="41" spans="1:23" s="3247" customFormat="1" ht="13.15" customHeight="1" thickBot="1">
      <c r="A41" s="3390">
        <v>11</v>
      </c>
      <c r="B41" s="3391" t="s">
        <v>2870</v>
      </c>
      <c r="C41" s="3391" t="e">
        <f>ROUND(C40*10000/B4,0)</f>
        <v>#DIV/0!</v>
      </c>
      <c r="D41" s="3392"/>
      <c r="E41" s="3392"/>
      <c r="F41" s="3393"/>
      <c r="G41" s="3394"/>
      <c r="H41" s="3242"/>
      <c r="I41" s="3243"/>
      <c r="J41" s="3338">
        <v>2</v>
      </c>
      <c r="K41" s="3339" t="s">
        <v>2871</v>
      </c>
      <c r="L41" s="3340"/>
      <c r="M41" s="3340"/>
      <c r="N41" s="3340"/>
      <c r="O41" s="3340"/>
      <c r="P41" s="3341"/>
      <c r="Q41" s="3342"/>
      <c r="R41" s="3313">
        <f>ROUND(R40*Q41,0)</f>
        <v>0</v>
      </c>
      <c r="S41" s="3316"/>
      <c r="T41" s="3234"/>
      <c r="U41" s="3350"/>
      <c r="V41" s="3243"/>
    </row>
    <row r="42" spans="1:23" s="3247" customFormat="1" ht="13.15" customHeight="1">
      <c r="G42" s="3394"/>
      <c r="H42" s="3242"/>
      <c r="I42" s="3243"/>
      <c r="J42" s="3862">
        <v>3</v>
      </c>
      <c r="K42" s="3345" t="s">
        <v>2872</v>
      </c>
      <c r="L42" s="3346"/>
      <c r="M42" s="3347"/>
      <c r="N42" s="3348" t="s">
        <v>2873</v>
      </c>
      <c r="O42" s="3348" t="s">
        <v>2874</v>
      </c>
      <c r="P42" s="3349" t="s">
        <v>2875</v>
      </c>
      <c r="Q42" s="3349" t="s">
        <v>2876</v>
      </c>
      <c r="R42" s="3252" t="s">
        <v>2877</v>
      </c>
      <c r="S42" s="3350"/>
      <c r="T42" s="3350"/>
      <c r="U42" s="3234"/>
      <c r="V42" s="3243"/>
    </row>
    <row r="43" spans="1:23" ht="13.15" customHeight="1">
      <c r="A43" s="3247"/>
      <c r="B43" s="3247"/>
      <c r="C43" s="3247"/>
      <c r="D43" s="3247"/>
      <c r="E43" s="3247"/>
      <c r="F43" s="3247"/>
      <c r="I43" s="3229"/>
      <c r="J43" s="3863"/>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2878</v>
      </c>
      <c r="L44" s="3398" t="s">
        <v>2879</v>
      </c>
      <c r="M44" s="3361"/>
      <c r="N44" s="3398" t="s">
        <v>2880</v>
      </c>
      <c r="O44" s="3361"/>
      <c r="P44" s="3398" t="s">
        <v>2881</v>
      </c>
      <c r="Q44" s="3363">
        <v>1.4999999999999999E-2</v>
      </c>
      <c r="R44" s="336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6"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2725</v>
      </c>
    </row>
    <row r="7" spans="1:25" s="2018" customFormat="1" ht="13.5" customHeight="1">
      <c r="A7" s="2277">
        <v>1</v>
      </c>
      <c r="B7" s="722" t="s">
        <v>591</v>
      </c>
      <c r="C7" s="723">
        <f>C8+C9</f>
        <v>0</v>
      </c>
      <c r="D7" s="723"/>
      <c r="E7" s="724"/>
      <c r="F7" s="724"/>
      <c r="G7" s="2286"/>
    </row>
    <row r="8" spans="1:25" s="2018" customFormat="1" ht="13.5" customHeight="1">
      <c r="A8" s="2277" t="s">
        <v>2220</v>
      </c>
      <c r="B8" s="2280" t="s">
        <v>2222</v>
      </c>
      <c r="C8" s="3179">
        <f t="shared" ref="C8:C9" si="0">ROUND(D8*E8/10000,0)</f>
        <v>0</v>
      </c>
      <c r="D8" s="3179">
        <v>0</v>
      </c>
      <c r="E8" s="3180">
        <v>0</v>
      </c>
      <c r="F8" s="724"/>
      <c r="G8" s="725"/>
    </row>
    <row r="9" spans="1:25" s="2018" customFormat="1" ht="13.5" customHeight="1">
      <c r="A9" s="2277" t="s">
        <v>2221</v>
      </c>
      <c r="B9" s="2280" t="s">
        <v>2223</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2220</v>
      </c>
      <c r="B11" s="726" t="s">
        <v>592</v>
      </c>
      <c r="C11" s="727">
        <f>'数据-取费表'!B29</f>
        <v>0</v>
      </c>
      <c r="D11" s="728"/>
      <c r="E11" s="727"/>
      <c r="F11" s="729"/>
      <c r="G11" s="2285" t="s">
        <v>2231</v>
      </c>
    </row>
    <row r="12" spans="1:25" s="2018" customFormat="1" ht="13.5" customHeight="1">
      <c r="A12" s="2283" t="s">
        <v>2228</v>
      </c>
      <c r="B12" s="730" t="s">
        <v>593</v>
      </c>
      <c r="C12" s="731">
        <f>ROUND(D12*E12/10000,0)</f>
        <v>2378</v>
      </c>
      <c r="D12" s="3179">
        <f>'数据-汇总表'!E5</f>
        <v>158548.07999999999</v>
      </c>
      <c r="E12" s="3179">
        <f>'数据-取费表'!B27</f>
        <v>150</v>
      </c>
      <c r="F12" s="729"/>
      <c r="G12" s="732"/>
    </row>
    <row r="13" spans="1:25" s="2018" customFormat="1" ht="13.5" customHeight="1">
      <c r="A13" s="2283" t="s">
        <v>2227</v>
      </c>
      <c r="B13" s="730" t="s">
        <v>594</v>
      </c>
      <c r="C13" s="731">
        <f>ROUND(D13*E13/10000,0)</f>
        <v>997</v>
      </c>
      <c r="D13" s="3179">
        <f>'数据-汇总表'!E6</f>
        <v>66452.729999999981</v>
      </c>
      <c r="E13" s="3179">
        <f>'数据-取费表'!B28</f>
        <v>150</v>
      </c>
      <c r="F13" s="729"/>
      <c r="G13" s="732"/>
    </row>
    <row r="14" spans="1:25" s="2018" customFormat="1" ht="13.5" customHeight="1">
      <c r="A14" s="2277" t="s">
        <v>2221</v>
      </c>
      <c r="B14" s="2282" t="s">
        <v>2224</v>
      </c>
      <c r="C14" s="3181">
        <f t="shared" ref="C14:C15" si="1">ROUND(D14*E14/10000,0)</f>
        <v>0</v>
      </c>
      <c r="D14" s="3179">
        <v>0</v>
      </c>
      <c r="E14" s="3180">
        <v>0</v>
      </c>
      <c r="F14" s="2281"/>
      <c r="G14" s="2284" t="s">
        <v>2229</v>
      </c>
    </row>
    <row r="15" spans="1:25" s="2018" customFormat="1" ht="13.5" customHeight="1">
      <c r="A15" s="2277" t="s">
        <v>2226</v>
      </c>
      <c r="B15" s="2282" t="s">
        <v>2225</v>
      </c>
      <c r="C15" s="3181">
        <f t="shared" si="1"/>
        <v>0</v>
      </c>
      <c r="D15" s="3179">
        <v>0</v>
      </c>
      <c r="E15" s="3180">
        <v>0</v>
      </c>
      <c r="F15" s="2281"/>
      <c r="G15" s="2284" t="s">
        <v>2230</v>
      </c>
    </row>
    <row r="16" spans="1:25" s="2019" customFormat="1" ht="48">
      <c r="A16" s="2277">
        <v>3</v>
      </c>
      <c r="B16" s="722" t="s">
        <v>597</v>
      </c>
      <c r="C16" s="3181">
        <f t="shared" ref="C16" si="2">ROUND(D16*E16/10000,0)</f>
        <v>0</v>
      </c>
      <c r="D16" s="3179">
        <v>0</v>
      </c>
      <c r="E16" s="3180">
        <v>0</v>
      </c>
      <c r="F16" s="734"/>
      <c r="G16" s="732" t="s">
        <v>2232</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0.89800000000000002</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C4" zoomScale="85" zoomScaleNormal="60" zoomScaleSheetLayoutView="85" workbookViewId="0">
      <selection activeCell="H32" sqref="H32"/>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902</v>
      </c>
      <c r="E1" s="1963"/>
      <c r="F1" s="2446" t="s">
        <v>3367</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452782</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28558</v>
      </c>
      <c r="C3" s="824" t="s">
        <v>704</v>
      </c>
      <c r="D3" s="823">
        <f>SUMIF('数据-汇总表'!$C19:$C33,D1,'数据-汇总表'!$E19:$E33)</f>
        <v>158548.07999999999</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743" t="s">
        <v>505</v>
      </c>
      <c r="D4" s="3744"/>
      <c r="E4" s="3778" t="s">
        <v>506</v>
      </c>
      <c r="F4" s="3779"/>
      <c r="G4" s="3743" t="s">
        <v>507</v>
      </c>
      <c r="H4" s="3744"/>
      <c r="I4" s="3743" t="s">
        <v>508</v>
      </c>
      <c r="J4" s="3744"/>
      <c r="K4" s="825" t="s">
        <v>509</v>
      </c>
      <c r="L4" s="1969"/>
      <c r="M4" s="1970"/>
      <c r="N4" s="1970"/>
      <c r="O4" s="1970"/>
      <c r="P4" s="3745" t="s">
        <v>510</v>
      </c>
      <c r="Q4" s="3746"/>
      <c r="R4" s="3751" t="s">
        <v>506</v>
      </c>
      <c r="S4" s="3752"/>
      <c r="T4" s="3751" t="s">
        <v>507</v>
      </c>
      <c r="U4" s="3752"/>
      <c r="V4" s="3738" t="s">
        <v>508</v>
      </c>
      <c r="W4" s="3738"/>
      <c r="X4" s="1457"/>
      <c r="Y4" s="3751" t="s">
        <v>510</v>
      </c>
      <c r="Z4" s="3752"/>
      <c r="AA4" s="3740" t="s">
        <v>506</v>
      </c>
      <c r="AB4" s="3740" t="s">
        <v>507</v>
      </c>
      <c r="AC4" s="3740" t="s">
        <v>508</v>
      </c>
    </row>
    <row r="5" spans="1:29" ht="15">
      <c r="A5" s="492"/>
      <c r="B5" s="493"/>
      <c r="C5" s="3867" t="s">
        <v>3368</v>
      </c>
      <c r="D5" s="3760"/>
      <c r="E5" s="3868" t="s">
        <v>4034</v>
      </c>
      <c r="F5" s="3781"/>
      <c r="G5" s="3867" t="s">
        <v>4035</v>
      </c>
      <c r="H5" s="3760"/>
      <c r="I5" s="3867" t="s">
        <v>3369</v>
      </c>
      <c r="J5" s="3760"/>
      <c r="K5" s="826"/>
      <c r="L5" s="1969"/>
      <c r="M5" s="1970"/>
      <c r="N5" s="1970"/>
      <c r="O5" s="1970"/>
      <c r="P5" s="3747"/>
      <c r="Q5" s="3748"/>
      <c r="R5" s="3753"/>
      <c r="S5" s="3754"/>
      <c r="T5" s="3753"/>
      <c r="U5" s="3754"/>
      <c r="V5" s="3738"/>
      <c r="W5" s="3738"/>
      <c r="X5" s="1457"/>
      <c r="Y5" s="3753"/>
      <c r="Z5" s="3754"/>
      <c r="AA5" s="3741"/>
      <c r="AB5" s="3741"/>
      <c r="AC5" s="3741"/>
    </row>
    <row r="6" spans="1:29" ht="15.75" thickBot="1">
      <c r="A6" s="494"/>
      <c r="B6" s="495"/>
      <c r="C6" s="3757" t="s">
        <v>3370</v>
      </c>
      <c r="D6" s="3758"/>
      <c r="E6" s="3776" t="s">
        <v>3370</v>
      </c>
      <c r="F6" s="3777"/>
      <c r="G6" s="3757" t="s">
        <v>3370</v>
      </c>
      <c r="H6" s="3758"/>
      <c r="I6" s="3757" t="s">
        <v>3370</v>
      </c>
      <c r="J6" s="3758"/>
      <c r="K6" s="826" t="s">
        <v>511</v>
      </c>
      <c r="L6" s="1969"/>
      <c r="M6" s="1970"/>
      <c r="N6" s="1970"/>
      <c r="O6" s="1970"/>
      <c r="P6" s="3749"/>
      <c r="Q6" s="3750"/>
      <c r="R6" s="3753"/>
      <c r="S6" s="3754"/>
      <c r="T6" s="3755"/>
      <c r="U6" s="3756"/>
      <c r="V6" s="3738"/>
      <c r="W6" s="3738"/>
      <c r="X6" s="1457"/>
      <c r="Y6" s="3755"/>
      <c r="Z6" s="3756"/>
      <c r="AA6" s="3742"/>
      <c r="AB6" s="3742"/>
      <c r="AC6" s="3742"/>
    </row>
    <row r="7" spans="1:29" s="1166" customFormat="1" ht="15.75" thickBot="1">
      <c r="A7" s="2551"/>
      <c r="B7" s="2558" t="s">
        <v>512</v>
      </c>
      <c r="C7" s="496">
        <f>'数据-取费表'!B2</f>
        <v>44747</v>
      </c>
      <c r="D7" s="497">
        <v>100</v>
      </c>
      <c r="E7" s="498">
        <v>44713</v>
      </c>
      <c r="F7" s="499">
        <f>SUMIF(58:58,YEAR(E7)&amp;"-"&amp;MONTH(E7),59:59)</f>
        <v>100</v>
      </c>
      <c r="G7" s="500">
        <v>44682</v>
      </c>
      <c r="H7" s="497">
        <f>SUMIF(58:58,YEAR(G7)&amp;"-"&amp;MONTH(G7),59:59)</f>
        <v>100</v>
      </c>
      <c r="I7" s="500">
        <v>44713</v>
      </c>
      <c r="J7" s="497">
        <f>SUMIF(58:58,YEAR(I7)&amp;"-"&amp;MONTH(I7),59:59)</f>
        <v>100</v>
      </c>
      <c r="K7" s="827"/>
      <c r="L7" s="1971"/>
      <c r="M7" s="1972"/>
      <c r="N7" s="1972"/>
      <c r="O7" s="1972"/>
      <c r="P7" s="3767" t="s">
        <v>513</v>
      </c>
      <c r="Q7" s="3769"/>
      <c r="R7" s="1458" t="s">
        <v>13</v>
      </c>
      <c r="S7" s="1459">
        <f t="shared" ref="S7:S15" si="0">F7</f>
        <v>100</v>
      </c>
      <c r="T7" s="1458" t="s">
        <v>13</v>
      </c>
      <c r="U7" s="1459">
        <f t="shared" ref="U7:U15" si="1">H7</f>
        <v>100</v>
      </c>
      <c r="V7" s="1458" t="s">
        <v>13</v>
      </c>
      <c r="W7" s="1459">
        <f t="shared" ref="W7:W15" si="2">J7</f>
        <v>100</v>
      </c>
      <c r="X7" s="1460"/>
      <c r="Y7" s="3767" t="s">
        <v>513</v>
      </c>
      <c r="Z7" s="3768"/>
      <c r="AA7" s="1461">
        <f>D7/F7</f>
        <v>1</v>
      </c>
      <c r="AB7" s="1461">
        <f>D7/H7</f>
        <v>1</v>
      </c>
      <c r="AC7" s="1461">
        <f>D7/J7</f>
        <v>1</v>
      </c>
    </row>
    <row r="8" spans="1:29" s="1166" customFormat="1" ht="15.75" thickBot="1">
      <c r="A8" s="2552"/>
      <c r="B8" s="2559" t="s">
        <v>514</v>
      </c>
      <c r="C8" s="502" t="s">
        <v>558</v>
      </c>
      <c r="D8" s="497">
        <v>100</v>
      </c>
      <c r="E8" s="828" t="s">
        <v>3373</v>
      </c>
      <c r="F8" s="499">
        <f>SUMIF(61:61,E8,62:62)-SUMIF(61:61,C8,62:62)+100</f>
        <v>100</v>
      </c>
      <c r="G8" s="502" t="s">
        <v>3373</v>
      </c>
      <c r="H8" s="497">
        <f>SUMIF(61:61,G8,62:62)-SUMIF(61:61,C8,62:62)+100</f>
        <v>100</v>
      </c>
      <c r="I8" s="828" t="s">
        <v>3373</v>
      </c>
      <c r="J8" s="497">
        <f>SUMIF(61:61,I8,62:62)-SUMIF(61:61,C8,62:62)+100</f>
        <v>100</v>
      </c>
      <c r="K8" s="827"/>
      <c r="L8" s="1971"/>
      <c r="M8" s="1972"/>
      <c r="N8" s="1972"/>
      <c r="O8" s="1972"/>
      <c r="P8" s="3767" t="s">
        <v>516</v>
      </c>
      <c r="Q8" s="3768"/>
      <c r="R8" s="1458" t="s">
        <v>13</v>
      </c>
      <c r="S8" s="1459">
        <f t="shared" si="0"/>
        <v>100</v>
      </c>
      <c r="T8" s="1458" t="s">
        <v>13</v>
      </c>
      <c r="U8" s="1459">
        <f t="shared" si="1"/>
        <v>100</v>
      </c>
      <c r="V8" s="1458" t="s">
        <v>13</v>
      </c>
      <c r="W8" s="1459">
        <f t="shared" si="2"/>
        <v>100</v>
      </c>
      <c r="X8" s="1460"/>
      <c r="Y8" s="3767" t="s">
        <v>516</v>
      </c>
      <c r="Z8" s="3768"/>
      <c r="AA8" s="1461">
        <f t="shared" ref="AA8:AA46" si="3">D8/F8</f>
        <v>1</v>
      </c>
      <c r="AB8" s="1461">
        <f t="shared" ref="AB8:AB46" si="4">D8/H8</f>
        <v>1</v>
      </c>
      <c r="AC8" s="1461">
        <f t="shared" ref="AC8:AC46" si="5">D8/J8</f>
        <v>1</v>
      </c>
    </row>
    <row r="9" spans="1:29" s="1166" customFormat="1" ht="15">
      <c r="A9" s="2553"/>
      <c r="B9" s="2560" t="s">
        <v>2472</v>
      </c>
      <c r="C9" s="3511" t="s">
        <v>3371</v>
      </c>
      <c r="D9" s="252">
        <v>100</v>
      </c>
      <c r="E9" s="830" t="s">
        <v>902</v>
      </c>
      <c r="F9" s="831">
        <f>SUMIF(63:63,E9,64:64)-SUMIF(63:63,C9,64:64)+100</f>
        <v>100</v>
      </c>
      <c r="G9" s="830" t="s">
        <v>902</v>
      </c>
      <c r="H9" s="252">
        <f>SUMIF(63:63,G9,64:64)-SUMIF(63:63,C9,64:64)+100</f>
        <v>100</v>
      </c>
      <c r="I9" s="830" t="s">
        <v>902</v>
      </c>
      <c r="J9" s="252">
        <f>SUMIF(63:63,I9,64:64)-SUMIF(63:63,C9,64:64)+100</f>
        <v>100</v>
      </c>
      <c r="K9" s="827"/>
      <c r="L9" s="1971"/>
      <c r="M9" s="1972"/>
      <c r="N9" s="1972"/>
      <c r="O9" s="1973"/>
      <c r="P9" s="3737" t="s">
        <v>518</v>
      </c>
      <c r="Q9" s="1097" t="str">
        <f t="shared" ref="Q9:Q15" si="6">B9</f>
        <v>用途</v>
      </c>
      <c r="R9" s="1458" t="s">
        <v>8</v>
      </c>
      <c r="S9" s="1459">
        <f t="shared" si="0"/>
        <v>100</v>
      </c>
      <c r="T9" s="1458" t="s">
        <v>8</v>
      </c>
      <c r="U9" s="1459">
        <f t="shared" si="1"/>
        <v>100</v>
      </c>
      <c r="V9" s="1458" t="s">
        <v>8</v>
      </c>
      <c r="W9" s="1459">
        <f t="shared" si="2"/>
        <v>100</v>
      </c>
      <c r="X9" s="1460"/>
      <c r="Y9" s="3681" t="s">
        <v>519</v>
      </c>
      <c r="Z9" s="1096" t="str">
        <f t="shared" ref="Z9:Z15" si="7">Q9</f>
        <v>用途</v>
      </c>
      <c r="AA9" s="1461">
        <f t="shared" si="3"/>
        <v>1</v>
      </c>
      <c r="AB9" s="1461">
        <f t="shared" si="4"/>
        <v>1</v>
      </c>
      <c r="AC9" s="1461">
        <f t="shared" si="5"/>
        <v>1</v>
      </c>
    </row>
    <row r="10" spans="1:29" s="1247" customFormat="1" ht="27">
      <c r="A10" s="2554"/>
      <c r="B10" s="2559" t="s">
        <v>2473</v>
      </c>
      <c r="C10" s="833" t="s">
        <v>3372</v>
      </c>
      <c r="D10" s="253">
        <v>100</v>
      </c>
      <c r="E10" s="834" t="s">
        <v>3372</v>
      </c>
      <c r="F10" s="835">
        <f>SUMIF(65:65,E10,66:66)-SUMIF(65:65,C10,66:66)+100</f>
        <v>100</v>
      </c>
      <c r="G10" s="834" t="s">
        <v>3372</v>
      </c>
      <c r="H10" s="253">
        <f>SUMIF(65:65,G10,66:66)-SUMIF(65:65,C10,66:66)+100</f>
        <v>100</v>
      </c>
      <c r="I10" s="834" t="s">
        <v>3372</v>
      </c>
      <c r="J10" s="253">
        <f>SUMIF(65:65,I10,66:66)-SUMIF(65:65,C10,66:66)+100</f>
        <v>100</v>
      </c>
      <c r="K10" s="836">
        <v>2</v>
      </c>
      <c r="L10" s="1974"/>
      <c r="M10" s="2013"/>
      <c r="N10" s="2013"/>
      <c r="O10" s="1975"/>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75" thickBot="1">
      <c r="A11" s="2555"/>
      <c r="B11" s="2559" t="s">
        <v>2474</v>
      </c>
      <c r="C11" s="510">
        <f>'数据-汇总表'!I6</f>
        <v>2.5</v>
      </c>
      <c r="D11" s="253">
        <v>100</v>
      </c>
      <c r="E11" s="511">
        <v>2.5</v>
      </c>
      <c r="F11" s="835">
        <f>LOOKUP(E11,68:68,69:69)-LOOKUP(C11,68:68,69:69)+100</f>
        <v>100</v>
      </c>
      <c r="G11" s="510">
        <v>2.2999999999999998</v>
      </c>
      <c r="H11" s="253">
        <f>LOOKUP(G11,68:68,69:69)-LOOKUP(C11,68:68,69:69)+100</f>
        <v>100</v>
      </c>
      <c r="I11" s="510">
        <v>2.5</v>
      </c>
      <c r="J11" s="253">
        <f>LOOKUP(I11,68:68,69:69)-LOOKUP(C11,68:68,69:69)+100</f>
        <v>100</v>
      </c>
      <c r="K11" s="836">
        <v>3</v>
      </c>
      <c r="L11" s="1976"/>
      <c r="M11" s="1970"/>
      <c r="N11" s="1970"/>
      <c r="O11" s="1977"/>
      <c r="P11" s="3737"/>
      <c r="Q11" s="1097" t="str">
        <f t="shared" si="6"/>
        <v>容积率</v>
      </c>
      <c r="R11" s="1458" t="s">
        <v>11</v>
      </c>
      <c r="S11" s="1459">
        <f t="shared" si="0"/>
        <v>100</v>
      </c>
      <c r="T11" s="1458" t="s">
        <v>11</v>
      </c>
      <c r="U11" s="1459">
        <f t="shared" si="1"/>
        <v>100</v>
      </c>
      <c r="V11" s="1458" t="s">
        <v>11</v>
      </c>
      <c r="W11" s="1459">
        <f t="shared" si="2"/>
        <v>100</v>
      </c>
      <c r="X11" s="1460"/>
      <c r="Y11" s="3681"/>
      <c r="Z11" s="1096" t="str">
        <f t="shared" si="7"/>
        <v>容积率</v>
      </c>
      <c r="AA11" s="1461">
        <f t="shared" si="3"/>
        <v>1</v>
      </c>
      <c r="AB11" s="1461">
        <f t="shared" si="4"/>
        <v>1</v>
      </c>
      <c r="AC11" s="1461">
        <f t="shared" si="5"/>
        <v>1</v>
      </c>
    </row>
    <row r="12" spans="1:29" s="1166" customFormat="1" ht="15" hidden="1">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737"/>
      <c r="Q12" s="1097">
        <f t="shared" si="6"/>
        <v>111</v>
      </c>
      <c r="R12" s="1458" t="s">
        <v>11</v>
      </c>
      <c r="S12" s="1459">
        <f t="shared" si="0"/>
        <v>100</v>
      </c>
      <c r="T12" s="1458" t="s">
        <v>11</v>
      </c>
      <c r="U12" s="1459">
        <f t="shared" si="1"/>
        <v>100</v>
      </c>
      <c r="V12" s="1458" t="s">
        <v>11</v>
      </c>
      <c r="W12" s="1459">
        <f t="shared" si="2"/>
        <v>100</v>
      </c>
      <c r="X12" s="1460"/>
      <c r="Y12" s="3681"/>
      <c r="Z12" s="1096">
        <f t="shared" si="7"/>
        <v>111</v>
      </c>
      <c r="AA12" s="1461">
        <f>D12/F12</f>
        <v>1</v>
      </c>
      <c r="AB12" s="1461">
        <f>D12/H12</f>
        <v>1</v>
      </c>
      <c r="AC12" s="1461">
        <f>D12/J12</f>
        <v>1</v>
      </c>
    </row>
    <row r="13" spans="1:29" ht="15" hidden="1">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737"/>
      <c r="Q13" s="1097">
        <f t="shared" si="6"/>
        <v>111</v>
      </c>
      <c r="R13" s="1458" t="s">
        <v>11</v>
      </c>
      <c r="S13" s="1459">
        <f t="shared" si="0"/>
        <v>100</v>
      </c>
      <c r="T13" s="1458" t="s">
        <v>11</v>
      </c>
      <c r="U13" s="1459">
        <f t="shared" si="1"/>
        <v>100</v>
      </c>
      <c r="V13" s="1458" t="s">
        <v>11</v>
      </c>
      <c r="W13" s="1459">
        <f t="shared" si="2"/>
        <v>100</v>
      </c>
      <c r="X13" s="1460"/>
      <c r="Y13" s="3681"/>
      <c r="Z13" s="1096">
        <f t="shared" si="7"/>
        <v>111</v>
      </c>
      <c r="AA13" s="1461">
        <f t="shared" si="3"/>
        <v>1</v>
      </c>
      <c r="AB13" s="1461">
        <f t="shared" si="4"/>
        <v>1</v>
      </c>
      <c r="AC13" s="1461">
        <f t="shared" si="5"/>
        <v>1</v>
      </c>
    </row>
    <row r="14" spans="1:29" ht="15.75" hidden="1"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737"/>
      <c r="Q14" s="1097">
        <f t="shared" si="6"/>
        <v>111</v>
      </c>
      <c r="R14" s="1458" t="s">
        <v>11</v>
      </c>
      <c r="S14" s="1459">
        <f t="shared" si="0"/>
        <v>100</v>
      </c>
      <c r="T14" s="1458" t="s">
        <v>11</v>
      </c>
      <c r="U14" s="1459">
        <f t="shared" si="1"/>
        <v>100</v>
      </c>
      <c r="V14" s="1458" t="s">
        <v>11</v>
      </c>
      <c r="W14" s="1459">
        <f t="shared" si="2"/>
        <v>100</v>
      </c>
      <c r="X14" s="1460"/>
      <c r="Y14" s="3681"/>
      <c r="Z14" s="1096">
        <f t="shared" si="7"/>
        <v>111</v>
      </c>
      <c r="AA14" s="1461">
        <f t="shared" si="3"/>
        <v>1</v>
      </c>
      <c r="AB14" s="1461">
        <f t="shared" si="4"/>
        <v>1</v>
      </c>
      <c r="AC14" s="1461">
        <f t="shared" si="5"/>
        <v>1</v>
      </c>
    </row>
    <row r="15" spans="1:29" ht="99.75">
      <c r="A15" s="2549"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v>5</v>
      </c>
      <c r="L15" s="1978"/>
      <c r="M15" s="1970"/>
      <c r="N15" s="1970"/>
      <c r="O15" s="1977"/>
      <c r="P15" s="3770" t="s">
        <v>523</v>
      </c>
      <c r="Q15" s="1462" t="str">
        <f t="shared" si="6"/>
        <v>居住社区成熟度</v>
      </c>
      <c r="R15" s="1463" t="s">
        <v>11</v>
      </c>
      <c r="S15" s="1464">
        <f t="shared" si="0"/>
        <v>100</v>
      </c>
      <c r="T15" s="1463" t="s">
        <v>11</v>
      </c>
      <c r="U15" s="1464">
        <f t="shared" si="1"/>
        <v>100</v>
      </c>
      <c r="V15" s="1463" t="s">
        <v>11</v>
      </c>
      <c r="W15" s="1464">
        <f t="shared" si="2"/>
        <v>100</v>
      </c>
      <c r="X15" s="1457"/>
      <c r="Y15" s="3770" t="s">
        <v>523</v>
      </c>
      <c r="Z15" s="1465" t="str">
        <f t="shared" si="7"/>
        <v>居住社区成熟度</v>
      </c>
      <c r="AA15" s="1466">
        <f t="shared" si="3"/>
        <v>1</v>
      </c>
      <c r="AB15" s="1466">
        <f t="shared" si="4"/>
        <v>1</v>
      </c>
      <c r="AC15" s="1466">
        <f t="shared" si="5"/>
        <v>1</v>
      </c>
    </row>
    <row r="16" spans="1:29" ht="15">
      <c r="A16" s="509"/>
      <c r="B16" s="841"/>
      <c r="C16" s="553" t="s">
        <v>3374</v>
      </c>
      <c r="D16" s="532"/>
      <c r="E16" s="553" t="s">
        <v>3374</v>
      </c>
      <c r="F16" s="534"/>
      <c r="G16" s="553" t="s">
        <v>3374</v>
      </c>
      <c r="H16" s="536"/>
      <c r="I16" s="553" t="s">
        <v>3374</v>
      </c>
      <c r="J16" s="532"/>
      <c r="K16" s="842"/>
      <c r="L16" s="1978"/>
      <c r="M16" s="1970"/>
      <c r="N16" s="1970"/>
      <c r="O16" s="1977"/>
      <c r="P16" s="3771"/>
      <c r="Q16" s="1462"/>
      <c r="R16" s="1463"/>
      <c r="S16" s="1464"/>
      <c r="T16" s="1463"/>
      <c r="U16" s="1464"/>
      <c r="V16" s="1463"/>
      <c r="W16" s="1464"/>
      <c r="X16" s="1457"/>
      <c r="Y16" s="3771"/>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v>3</v>
      </c>
      <c r="L17" s="1978"/>
      <c r="M17" s="1970"/>
      <c r="N17" s="1970"/>
      <c r="O17" s="1977"/>
      <c r="P17" s="3771"/>
      <c r="Q17" s="1462" t="str">
        <f>B17</f>
        <v>交通便捷度</v>
      </c>
      <c r="R17" s="1463" t="s">
        <v>11</v>
      </c>
      <c r="S17" s="1464">
        <f>F17</f>
        <v>100</v>
      </c>
      <c r="T17" s="1463" t="s">
        <v>11</v>
      </c>
      <c r="U17" s="1464">
        <f>H17</f>
        <v>100</v>
      </c>
      <c r="V17" s="1463" t="s">
        <v>11</v>
      </c>
      <c r="W17" s="1464">
        <f>J17</f>
        <v>100</v>
      </c>
      <c r="X17" s="1457"/>
      <c r="Y17" s="3771"/>
      <c r="Z17" s="1465" t="str">
        <f>Q17</f>
        <v>交通便捷度</v>
      </c>
      <c r="AA17" s="1466">
        <f t="shared" si="3"/>
        <v>1</v>
      </c>
      <c r="AB17" s="1466">
        <f t="shared" si="4"/>
        <v>1</v>
      </c>
      <c r="AC17" s="1466">
        <f t="shared" si="5"/>
        <v>1</v>
      </c>
    </row>
    <row r="18" spans="1:29" ht="15">
      <c r="A18" s="509"/>
      <c r="B18" s="572"/>
      <c r="C18" s="845" t="s">
        <v>3374</v>
      </c>
      <c r="D18" s="536"/>
      <c r="E18" s="845" t="s">
        <v>3374</v>
      </c>
      <c r="F18" s="540"/>
      <c r="G18" s="845" t="s">
        <v>3374</v>
      </c>
      <c r="H18" s="532"/>
      <c r="I18" s="845" t="s">
        <v>3374</v>
      </c>
      <c r="J18" s="532"/>
      <c r="K18" s="842"/>
      <c r="L18" s="1978"/>
      <c r="M18" s="1970"/>
      <c r="N18" s="1970"/>
      <c r="O18" s="1977"/>
      <c r="P18" s="3771"/>
      <c r="Q18" s="1462"/>
      <c r="R18" s="1463"/>
      <c r="S18" s="1464"/>
      <c r="T18" s="1463"/>
      <c r="U18" s="1464"/>
      <c r="V18" s="1463"/>
      <c r="W18" s="1464"/>
      <c r="X18" s="1457"/>
      <c r="Y18" s="3771"/>
      <c r="Z18" s="1465"/>
      <c r="AA18" s="1466">
        <v>1</v>
      </c>
      <c r="AB18" s="1466">
        <v>1</v>
      </c>
      <c r="AC18" s="1466">
        <v>1</v>
      </c>
    </row>
    <row r="19" spans="1:29" ht="42.75">
      <c r="A19" s="509"/>
      <c r="B19" s="2366"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v>2</v>
      </c>
      <c r="L19" s="1978"/>
      <c r="M19" s="1970"/>
      <c r="N19" s="1970"/>
      <c r="O19" s="1977"/>
      <c r="P19" s="3771"/>
      <c r="Q19" s="1462" t="str">
        <f>B19</f>
        <v>公共配套设施</v>
      </c>
      <c r="R19" s="1463" t="s">
        <v>11</v>
      </c>
      <c r="S19" s="1464">
        <f>F19</f>
        <v>100</v>
      </c>
      <c r="T19" s="1463" t="s">
        <v>11</v>
      </c>
      <c r="U19" s="1464">
        <f>H19</f>
        <v>100</v>
      </c>
      <c r="V19" s="1463" t="s">
        <v>11</v>
      </c>
      <c r="W19" s="1464">
        <f>J19</f>
        <v>100</v>
      </c>
      <c r="X19" s="1457"/>
      <c r="Y19" s="3771"/>
      <c r="Z19" s="1465" t="str">
        <f>Q19</f>
        <v>公共配套设施</v>
      </c>
      <c r="AA19" s="1466">
        <f t="shared" si="3"/>
        <v>1</v>
      </c>
      <c r="AB19" s="1466">
        <f t="shared" si="4"/>
        <v>1</v>
      </c>
      <c r="AC19" s="1466">
        <f t="shared" si="5"/>
        <v>1</v>
      </c>
    </row>
    <row r="20" spans="1:29" ht="15">
      <c r="A20" s="509"/>
      <c r="B20" s="572"/>
      <c r="C20" s="553" t="s">
        <v>3375</v>
      </c>
      <c r="D20" s="532"/>
      <c r="E20" s="553" t="s">
        <v>3375</v>
      </c>
      <c r="F20" s="534"/>
      <c r="G20" s="553" t="s">
        <v>3375</v>
      </c>
      <c r="H20" s="532"/>
      <c r="I20" s="553" t="s">
        <v>3375</v>
      </c>
      <c r="J20" s="532"/>
      <c r="K20" s="842"/>
      <c r="L20" s="1978"/>
      <c r="M20" s="1970"/>
      <c r="N20" s="1970"/>
      <c r="O20" s="1977"/>
      <c r="P20" s="3771"/>
      <c r="Q20" s="1462"/>
      <c r="R20" s="1463"/>
      <c r="S20" s="1464"/>
      <c r="T20" s="1463"/>
      <c r="U20" s="1464"/>
      <c r="V20" s="1463"/>
      <c r="W20" s="1464"/>
      <c r="X20" s="1457"/>
      <c r="Y20" s="3771"/>
      <c r="Z20" s="1465"/>
      <c r="AA20" s="1466">
        <v>1</v>
      </c>
      <c r="AB20" s="1466">
        <v>1</v>
      </c>
      <c r="AC20" s="1466">
        <v>1</v>
      </c>
    </row>
    <row r="21" spans="1:29" ht="28.5">
      <c r="A21" s="509"/>
      <c r="B21" s="2359"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v>1</v>
      </c>
      <c r="L21" s="1978"/>
      <c r="M21" s="1970"/>
      <c r="N21" s="1970"/>
      <c r="O21" s="1977"/>
      <c r="P21" s="3771"/>
      <c r="Q21" s="2351" t="str">
        <f>B21</f>
        <v>基础设施水平</v>
      </c>
      <c r="R21" s="1463" t="s">
        <v>11</v>
      </c>
      <c r="S21" s="1464">
        <f>F21</f>
        <v>100</v>
      </c>
      <c r="T21" s="1463" t="s">
        <v>11</v>
      </c>
      <c r="U21" s="1464">
        <f>H21</f>
        <v>100</v>
      </c>
      <c r="V21" s="1463" t="s">
        <v>11</v>
      </c>
      <c r="W21" s="1464">
        <f>J21</f>
        <v>100</v>
      </c>
      <c r="X21" s="2353"/>
      <c r="Y21" s="3771"/>
      <c r="Z21" s="2352" t="str">
        <f>Q21</f>
        <v>基础设施水平</v>
      </c>
      <c r="AA21" s="1466">
        <f t="shared" ref="AA21" si="8">D21/F21</f>
        <v>1</v>
      </c>
      <c r="AB21" s="1466">
        <f t="shared" ref="AB21" si="9">D21/H21</f>
        <v>1</v>
      </c>
      <c r="AC21" s="1466">
        <f t="shared" ref="AC21" si="10">D21/J21</f>
        <v>1</v>
      </c>
    </row>
    <row r="22" spans="1:29" ht="15">
      <c r="A22" s="509"/>
      <c r="B22" s="893"/>
      <c r="C22" s="845" t="s">
        <v>3992</v>
      </c>
      <c r="D22" s="532"/>
      <c r="E22" s="845" t="s">
        <v>3992</v>
      </c>
      <c r="F22" s="534"/>
      <c r="G22" s="845" t="s">
        <v>3992</v>
      </c>
      <c r="H22" s="532"/>
      <c r="I22" s="845" t="s">
        <v>3992</v>
      </c>
      <c r="J22" s="532"/>
      <c r="K22" s="2365"/>
      <c r="L22" s="1978"/>
      <c r="M22" s="1970"/>
      <c r="N22" s="1970"/>
      <c r="O22" s="1977"/>
      <c r="P22" s="3771"/>
      <c r="Q22" s="2351"/>
      <c r="R22" s="1463"/>
      <c r="S22" s="1464"/>
      <c r="T22" s="1463"/>
      <c r="U22" s="1464"/>
      <c r="V22" s="1463"/>
      <c r="W22" s="1464"/>
      <c r="X22" s="2353"/>
      <c r="Y22" s="3771"/>
      <c r="Z22" s="2352"/>
      <c r="AA22" s="1466">
        <v>1</v>
      </c>
      <c r="AB22" s="1466">
        <v>1</v>
      </c>
      <c r="AC22" s="146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v>2</v>
      </c>
      <c r="L23" s="1978"/>
      <c r="M23" s="1970"/>
      <c r="N23" s="1970"/>
      <c r="O23" s="1977"/>
      <c r="P23" s="3771"/>
      <c r="Q23" s="1462" t="str">
        <f>B23</f>
        <v>自然及人文环境</v>
      </c>
      <c r="R23" s="1463" t="s">
        <v>11</v>
      </c>
      <c r="S23" s="1464">
        <f>F23</f>
        <v>100</v>
      </c>
      <c r="T23" s="1463" t="s">
        <v>11</v>
      </c>
      <c r="U23" s="1464">
        <f>H23</f>
        <v>100</v>
      </c>
      <c r="V23" s="1463" t="s">
        <v>11</v>
      </c>
      <c r="W23" s="1464">
        <f>J23</f>
        <v>100</v>
      </c>
      <c r="X23" s="1457"/>
      <c r="Y23" s="3771"/>
      <c r="Z23" s="1465" t="str">
        <f>Q23</f>
        <v>自然及人文环境</v>
      </c>
      <c r="AA23" s="1466">
        <f t="shared" si="3"/>
        <v>1</v>
      </c>
      <c r="AB23" s="1466">
        <f t="shared" si="4"/>
        <v>1</v>
      </c>
      <c r="AC23" s="1466">
        <f t="shared" si="5"/>
        <v>1</v>
      </c>
    </row>
    <row r="24" spans="1:29" ht="15.75" thickBot="1">
      <c r="A24" s="509"/>
      <c r="B24" s="572"/>
      <c r="C24" s="553" t="s">
        <v>3374</v>
      </c>
      <c r="D24" s="532"/>
      <c r="E24" s="553" t="s">
        <v>3374</v>
      </c>
      <c r="F24" s="534"/>
      <c r="G24" s="553" t="s">
        <v>3374</v>
      </c>
      <c r="H24" s="532"/>
      <c r="I24" s="553" t="s">
        <v>3374</v>
      </c>
      <c r="J24" s="532"/>
      <c r="K24" s="842"/>
      <c r="L24" s="1978"/>
      <c r="M24" s="1970"/>
      <c r="N24" s="1970"/>
      <c r="O24" s="1977"/>
      <c r="P24" s="3771"/>
      <c r="Q24" s="1462"/>
      <c r="R24" s="1463"/>
      <c r="S24" s="1464"/>
      <c r="T24" s="1463"/>
      <c r="U24" s="1464"/>
      <c r="V24" s="1463"/>
      <c r="W24" s="1464"/>
      <c r="X24" s="1457"/>
      <c r="Y24" s="3771"/>
      <c r="Z24" s="1465"/>
      <c r="AA24" s="1466">
        <v>1</v>
      </c>
      <c r="AB24" s="1466">
        <v>1</v>
      </c>
      <c r="AC24" s="1466">
        <v>1</v>
      </c>
    </row>
    <row r="25" spans="1:29" ht="15" hidden="1">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771"/>
      <c r="Q25" s="1462" t="str">
        <f t="shared" ref="Q25:Q46" si="11">B25</f>
        <v>楼层-1</v>
      </c>
      <c r="R25" s="1463" t="s">
        <v>11</v>
      </c>
      <c r="S25" s="1464">
        <f>F25</f>
        <v>100</v>
      </c>
      <c r="T25" s="1463" t="s">
        <v>11</v>
      </c>
      <c r="U25" s="1464">
        <f>H25</f>
        <v>100</v>
      </c>
      <c r="V25" s="1463" t="s">
        <v>11</v>
      </c>
      <c r="W25" s="1464">
        <f>J25</f>
        <v>100</v>
      </c>
      <c r="X25" s="1457"/>
      <c r="Y25" s="3771"/>
      <c r="Z25" s="1465" t="str">
        <f>Q25</f>
        <v>楼层-1</v>
      </c>
      <c r="AA25" s="1466">
        <f t="shared" si="3"/>
        <v>1</v>
      </c>
      <c r="AB25" s="1466">
        <f t="shared" si="4"/>
        <v>1</v>
      </c>
      <c r="AC25" s="1466">
        <f t="shared" si="5"/>
        <v>1</v>
      </c>
    </row>
    <row r="26" spans="1:29" ht="15" hidden="1">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771"/>
      <c r="Q26" s="1462" t="str">
        <f t="shared" si="11"/>
        <v>朝向</v>
      </c>
      <c r="R26" s="1463" t="s">
        <v>11</v>
      </c>
      <c r="S26" s="1464">
        <f>F26</f>
        <v>100</v>
      </c>
      <c r="T26" s="1463" t="s">
        <v>11</v>
      </c>
      <c r="U26" s="1464">
        <f>H26</f>
        <v>100</v>
      </c>
      <c r="V26" s="1463" t="s">
        <v>11</v>
      </c>
      <c r="W26" s="1464">
        <f>J26</f>
        <v>100</v>
      </c>
      <c r="X26" s="1457"/>
      <c r="Y26" s="3771"/>
      <c r="Z26" s="1465" t="str">
        <f>Q26</f>
        <v>朝向</v>
      </c>
      <c r="AA26" s="1466">
        <f t="shared" si="3"/>
        <v>1</v>
      </c>
      <c r="AB26" s="1466">
        <f t="shared" si="4"/>
        <v>1</v>
      </c>
      <c r="AC26" s="1466">
        <f t="shared" si="5"/>
        <v>1</v>
      </c>
    </row>
    <row r="27" spans="1:29" s="1166" customFormat="1" ht="15" hidden="1">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771"/>
      <c r="Q27" s="1097" t="str">
        <f t="shared" si="11"/>
        <v>道路级别</v>
      </c>
      <c r="R27" s="1458" t="s">
        <v>11</v>
      </c>
      <c r="S27" s="1459">
        <f>F27</f>
        <v>100</v>
      </c>
      <c r="T27" s="1458" t="s">
        <v>11</v>
      </c>
      <c r="U27" s="1459">
        <f>H27</f>
        <v>100</v>
      </c>
      <c r="V27" s="1458" t="s">
        <v>11</v>
      </c>
      <c r="W27" s="1459">
        <f>J27</f>
        <v>100</v>
      </c>
      <c r="X27" s="1460"/>
      <c r="Y27" s="3771"/>
      <c r="Z27" s="1096" t="str">
        <f>Q27</f>
        <v>道路级别</v>
      </c>
      <c r="AA27" s="1466">
        <f>D27/F27</f>
        <v>1</v>
      </c>
      <c r="AB27" s="1466">
        <f>D27/H27</f>
        <v>1</v>
      </c>
      <c r="AC27" s="1466">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771"/>
      <c r="Q28" s="1462">
        <f t="shared" si="11"/>
        <v>111</v>
      </c>
      <c r="R28" s="1463" t="s">
        <v>11</v>
      </c>
      <c r="S28" s="1464">
        <f t="shared" ref="S28:S46" si="12">F28</f>
        <v>100</v>
      </c>
      <c r="T28" s="1463" t="s">
        <v>11</v>
      </c>
      <c r="U28" s="1464">
        <f t="shared" ref="U28:U46" si="13">H28</f>
        <v>100</v>
      </c>
      <c r="V28" s="1463" t="s">
        <v>11</v>
      </c>
      <c r="W28" s="1464">
        <f t="shared" ref="W28:W46" si="14">J28</f>
        <v>100</v>
      </c>
      <c r="X28" s="1457"/>
      <c r="Y28" s="3771"/>
      <c r="Z28" s="1465">
        <f t="shared" ref="Z28:Z46" si="15">Q28</f>
        <v>111</v>
      </c>
      <c r="AA28" s="1466">
        <f t="shared" si="3"/>
        <v>1</v>
      </c>
      <c r="AB28" s="1466">
        <f t="shared" si="4"/>
        <v>1</v>
      </c>
      <c r="AC28" s="1466">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771"/>
      <c r="Q29" s="1462">
        <f t="shared" si="11"/>
        <v>111</v>
      </c>
      <c r="R29" s="1463" t="s">
        <v>11</v>
      </c>
      <c r="S29" s="1464">
        <f t="shared" si="12"/>
        <v>100</v>
      </c>
      <c r="T29" s="1463" t="s">
        <v>11</v>
      </c>
      <c r="U29" s="1464">
        <f t="shared" si="13"/>
        <v>100</v>
      </c>
      <c r="V29" s="1463" t="s">
        <v>11</v>
      </c>
      <c r="W29" s="1464">
        <f t="shared" si="14"/>
        <v>100</v>
      </c>
      <c r="X29" s="1457"/>
      <c r="Y29" s="3771"/>
      <c r="Z29" s="1465">
        <f t="shared" si="15"/>
        <v>111</v>
      </c>
      <c r="AA29" s="1466">
        <f t="shared" si="3"/>
        <v>1</v>
      </c>
      <c r="AB29" s="1466">
        <f t="shared" si="4"/>
        <v>1</v>
      </c>
      <c r="AC29" s="1466">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771"/>
      <c r="Q30" s="1462">
        <f t="shared" si="11"/>
        <v>111</v>
      </c>
      <c r="R30" s="1463" t="s">
        <v>11</v>
      </c>
      <c r="S30" s="1464">
        <f t="shared" si="12"/>
        <v>100</v>
      </c>
      <c r="T30" s="1463" t="s">
        <v>11</v>
      </c>
      <c r="U30" s="1464">
        <f t="shared" si="13"/>
        <v>100</v>
      </c>
      <c r="V30" s="1463" t="s">
        <v>11</v>
      </c>
      <c r="W30" s="1464">
        <f t="shared" si="14"/>
        <v>100</v>
      </c>
      <c r="X30" s="1457"/>
      <c r="Y30" s="3771"/>
      <c r="Z30" s="1465">
        <f t="shared" si="15"/>
        <v>111</v>
      </c>
      <c r="AA30" s="1466">
        <f t="shared" si="3"/>
        <v>1</v>
      </c>
      <c r="AB30" s="1466">
        <f t="shared" si="4"/>
        <v>1</v>
      </c>
      <c r="AC30" s="1466">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771"/>
      <c r="Q31" s="1462">
        <f t="shared" si="11"/>
        <v>111</v>
      </c>
      <c r="R31" s="1463" t="s">
        <v>11</v>
      </c>
      <c r="S31" s="1464">
        <f t="shared" si="12"/>
        <v>100</v>
      </c>
      <c r="T31" s="1463" t="s">
        <v>11</v>
      </c>
      <c r="U31" s="1464">
        <f t="shared" si="13"/>
        <v>100</v>
      </c>
      <c r="V31" s="1463" t="s">
        <v>11</v>
      </c>
      <c r="W31" s="1464">
        <f t="shared" si="14"/>
        <v>100</v>
      </c>
      <c r="X31" s="1457"/>
      <c r="Y31" s="3771"/>
      <c r="Z31" s="1465">
        <f t="shared" si="15"/>
        <v>111</v>
      </c>
      <c r="AA31" s="1466">
        <f t="shared" si="3"/>
        <v>1</v>
      </c>
      <c r="AB31" s="1466">
        <f t="shared" si="4"/>
        <v>1</v>
      </c>
      <c r="AC31" s="1466">
        <f t="shared" si="5"/>
        <v>1</v>
      </c>
    </row>
    <row r="32" spans="1:29" ht="15">
      <c r="A32" s="2546" t="s">
        <v>2471</v>
      </c>
      <c r="B32" s="170" t="s">
        <v>707</v>
      </c>
      <c r="C32" s="850" t="s">
        <v>4010</v>
      </c>
      <c r="D32" s="574">
        <v>100</v>
      </c>
      <c r="E32" s="850" t="s">
        <v>4010</v>
      </c>
      <c r="F32" s="552">
        <f>SUMIF(100:100,E32,101:101)-SUMIF(100:100,C32,101:101)+100</f>
        <v>100</v>
      </c>
      <c r="G32" s="850" t="s">
        <v>4010</v>
      </c>
      <c r="H32" s="574">
        <f>SUMIF(100:100,G32,101:101)-SUMIF(100:100,C32,101:101)+100</f>
        <v>100</v>
      </c>
      <c r="I32" s="850" t="s">
        <v>4010</v>
      </c>
      <c r="J32" s="517">
        <f>SUMIF(100:100,I32,101:101)-SUMIF(100:100,C32,101:101)+100</f>
        <v>100</v>
      </c>
      <c r="K32" s="836">
        <v>2</v>
      </c>
      <c r="L32" s="1978"/>
      <c r="M32" s="1970"/>
      <c r="N32" s="1970"/>
      <c r="O32" s="1977"/>
      <c r="P32" s="3772" t="s">
        <v>533</v>
      </c>
      <c r="Q32" s="1462" t="str">
        <f t="shared" si="11"/>
        <v>建筑类型</v>
      </c>
      <c r="R32" s="1463" t="s">
        <v>11</v>
      </c>
      <c r="S32" s="1464">
        <f t="shared" si="12"/>
        <v>100</v>
      </c>
      <c r="T32" s="1463" t="s">
        <v>11</v>
      </c>
      <c r="U32" s="1464">
        <f t="shared" si="13"/>
        <v>100</v>
      </c>
      <c r="V32" s="1463" t="s">
        <v>11</v>
      </c>
      <c r="W32" s="1464">
        <f t="shared" si="14"/>
        <v>100</v>
      </c>
      <c r="X32" s="1457"/>
      <c r="Y32" s="3773" t="s">
        <v>533</v>
      </c>
      <c r="Z32" s="1465" t="str">
        <f t="shared" si="15"/>
        <v>建筑类型</v>
      </c>
      <c r="AA32" s="1466">
        <f t="shared" si="3"/>
        <v>1</v>
      </c>
      <c r="AB32" s="1466">
        <f t="shared" si="4"/>
        <v>1</v>
      </c>
      <c r="AC32" s="1466">
        <f t="shared" si="5"/>
        <v>1</v>
      </c>
    </row>
    <row r="33" spans="1:29" s="1248" customFormat="1" ht="15">
      <c r="A33" s="580"/>
      <c r="B33" s="504" t="s">
        <v>708</v>
      </c>
      <c r="C33" s="851">
        <f>'数据-汇总表'!E3</f>
        <v>225000.80999999997</v>
      </c>
      <c r="D33" s="253">
        <v>100</v>
      </c>
      <c r="E33" s="511">
        <v>241005.84</v>
      </c>
      <c r="F33" s="835">
        <f>LOOKUP(E33,103:103,104:104)-LOOKUP(C33,103:103,104:104)+100</f>
        <v>100</v>
      </c>
      <c r="G33" s="510">
        <v>63614.91</v>
      </c>
      <c r="H33" s="253">
        <f>LOOKUP(G33,103:103,104:104)-LOOKUP(C33,103:103,104:104)+100</f>
        <v>99.5</v>
      </c>
      <c r="I33" s="511">
        <v>120800</v>
      </c>
      <c r="J33" s="253">
        <f>LOOKUP(I33,103:103,104:104)-LOOKUP(C33,103:103,104:104)+100</f>
        <v>99.5</v>
      </c>
      <c r="K33" s="837"/>
      <c r="L33" s="1976"/>
      <c r="M33" s="2006"/>
      <c r="N33" s="2006"/>
      <c r="O33" s="1979"/>
      <c r="P33" s="3773"/>
      <c r="Q33" s="1491" t="str">
        <f t="shared" si="11"/>
        <v>项目建筑规模</v>
      </c>
      <c r="R33" s="1467" t="s">
        <v>11</v>
      </c>
      <c r="S33" s="1468">
        <f t="shared" si="12"/>
        <v>100</v>
      </c>
      <c r="T33" s="1467" t="s">
        <v>11</v>
      </c>
      <c r="U33" s="1468">
        <f t="shared" si="13"/>
        <v>99.5</v>
      </c>
      <c r="V33" s="1467" t="s">
        <v>11</v>
      </c>
      <c r="W33" s="1468">
        <f t="shared" si="14"/>
        <v>99.5</v>
      </c>
      <c r="X33" s="1469"/>
      <c r="Y33" s="3773"/>
      <c r="Z33" s="1470" t="str">
        <f t="shared" si="15"/>
        <v>项目建筑规模</v>
      </c>
      <c r="AA33" s="1466">
        <f t="shared" si="3"/>
        <v>1</v>
      </c>
      <c r="AB33" s="1466">
        <f t="shared" si="4"/>
        <v>1.0050251256281406</v>
      </c>
      <c r="AC33" s="1466">
        <f t="shared" si="5"/>
        <v>1.0050251256281406</v>
      </c>
    </row>
    <row r="34" spans="1:29" ht="15">
      <c r="A34" s="571"/>
      <c r="B34" s="504" t="s">
        <v>709</v>
      </c>
      <c r="C34" s="852" t="s">
        <v>3379</v>
      </c>
      <c r="D34" s="517">
        <v>100</v>
      </c>
      <c r="E34" s="852" t="s">
        <v>3379</v>
      </c>
      <c r="F34" s="552">
        <f>SUMIF(105:105,E34,106:106)-SUMIF(105:105,C34,106:106)+100</f>
        <v>100</v>
      </c>
      <c r="G34" s="852" t="s">
        <v>3379</v>
      </c>
      <c r="H34" s="517">
        <f>SUMIF(105:105,G34,106:106)-SUMIF(105:105,C34,106:106)+100</f>
        <v>100</v>
      </c>
      <c r="I34" s="852" t="s">
        <v>3379</v>
      </c>
      <c r="J34" s="517">
        <f>SUMIF(105:105,I34,106:106)-SUMIF(105:105,C34,106:106)+100</f>
        <v>100</v>
      </c>
      <c r="K34" s="836">
        <v>2</v>
      </c>
      <c r="L34" s="1978"/>
      <c r="M34" s="1970"/>
      <c r="N34" s="1970"/>
      <c r="O34" s="1977"/>
      <c r="P34" s="3773"/>
      <c r="Q34" s="1462" t="str">
        <f t="shared" si="11"/>
        <v>建筑结构</v>
      </c>
      <c r="R34" s="1463" t="s">
        <v>11</v>
      </c>
      <c r="S34" s="1464">
        <f t="shared" si="12"/>
        <v>100</v>
      </c>
      <c r="T34" s="1463" t="s">
        <v>11</v>
      </c>
      <c r="U34" s="1464">
        <f t="shared" si="13"/>
        <v>100</v>
      </c>
      <c r="V34" s="1463" t="s">
        <v>11</v>
      </c>
      <c r="W34" s="1464">
        <f t="shared" si="14"/>
        <v>100</v>
      </c>
      <c r="X34" s="1457"/>
      <c r="Y34" s="3773"/>
      <c r="Z34" s="1465" t="str">
        <f t="shared" si="15"/>
        <v>建筑结构</v>
      </c>
      <c r="AA34" s="1466">
        <f t="shared" si="3"/>
        <v>1</v>
      </c>
      <c r="AB34" s="1466">
        <f t="shared" si="4"/>
        <v>1</v>
      </c>
      <c r="AC34" s="1466">
        <f t="shared" si="5"/>
        <v>1</v>
      </c>
    </row>
    <row r="35" spans="1:29" ht="15">
      <c r="A35" s="571"/>
      <c r="B35" s="504" t="s">
        <v>710</v>
      </c>
      <c r="C35" s="576" t="s">
        <v>4012</v>
      </c>
      <c r="D35" s="517">
        <v>100</v>
      </c>
      <c r="E35" s="576" t="s">
        <v>4012</v>
      </c>
      <c r="F35" s="552">
        <f>SUMIF(107:107,E35,108:108)-SUMIF(107:107,C35,108:108)+100</f>
        <v>100</v>
      </c>
      <c r="G35" s="576" t="s">
        <v>4012</v>
      </c>
      <c r="H35" s="517">
        <f>SUMIF(107:107,G35,108:108)-SUMIF(107:107,C35,108:108)+100</f>
        <v>100</v>
      </c>
      <c r="I35" s="576" t="s">
        <v>4012</v>
      </c>
      <c r="J35" s="517">
        <f>SUMIF(107:107,I35,108:108)-SUMIF(107:107,C35,108:108)+100</f>
        <v>100</v>
      </c>
      <c r="K35" s="836">
        <v>2</v>
      </c>
      <c r="L35" s="1978"/>
      <c r="M35" s="1970"/>
      <c r="N35" s="1970"/>
      <c r="O35" s="1977"/>
      <c r="P35" s="3773"/>
      <c r="Q35" s="1462" t="str">
        <f t="shared" si="11"/>
        <v>建筑品质</v>
      </c>
      <c r="R35" s="1463" t="s">
        <v>11</v>
      </c>
      <c r="S35" s="1464">
        <f t="shared" si="12"/>
        <v>100</v>
      </c>
      <c r="T35" s="1463" t="s">
        <v>11</v>
      </c>
      <c r="U35" s="1464">
        <f t="shared" si="13"/>
        <v>100</v>
      </c>
      <c r="V35" s="1463" t="s">
        <v>11</v>
      </c>
      <c r="W35" s="1464">
        <f t="shared" si="14"/>
        <v>100</v>
      </c>
      <c r="X35" s="1457"/>
      <c r="Y35" s="3773"/>
      <c r="Z35" s="1465" t="str">
        <f t="shared" si="15"/>
        <v>建筑品质</v>
      </c>
      <c r="AA35" s="1466">
        <f t="shared" si="3"/>
        <v>1</v>
      </c>
      <c r="AB35" s="1466">
        <f t="shared" si="4"/>
        <v>1</v>
      </c>
      <c r="AC35" s="1466">
        <f t="shared" si="5"/>
        <v>1</v>
      </c>
    </row>
    <row r="36" spans="1:29" ht="15">
      <c r="A36" s="571"/>
      <c r="B36" s="504" t="s">
        <v>711</v>
      </c>
      <c r="C36" s="576" t="s">
        <v>4013</v>
      </c>
      <c r="D36" s="517">
        <v>100</v>
      </c>
      <c r="E36" s="576" t="s">
        <v>4013</v>
      </c>
      <c r="F36" s="552">
        <f>SUMIF(109:109,E36,110:110)-SUMIF(109:109,C36,110:110)+100</f>
        <v>100</v>
      </c>
      <c r="G36" s="576" t="s">
        <v>4013</v>
      </c>
      <c r="H36" s="517">
        <f>SUMIF(109:109,G36,110:110)-SUMIF(109:109,C36,110:110)+100</f>
        <v>100</v>
      </c>
      <c r="I36" s="576" t="s">
        <v>4013</v>
      </c>
      <c r="J36" s="517">
        <f>SUMIF(109:109,I36,110:110)-SUMIF(109:109,C36,110:110)+100</f>
        <v>100</v>
      </c>
      <c r="K36" s="836">
        <v>2</v>
      </c>
      <c r="L36" s="1978"/>
      <c r="M36" s="1970"/>
      <c r="N36" s="1970"/>
      <c r="O36" s="1977"/>
      <c r="P36" s="3773"/>
      <c r="Q36" s="1462" t="str">
        <f t="shared" si="11"/>
        <v>公共部分装修</v>
      </c>
      <c r="R36" s="1463" t="s">
        <v>11</v>
      </c>
      <c r="S36" s="1464">
        <f t="shared" si="12"/>
        <v>100</v>
      </c>
      <c r="T36" s="1463" t="s">
        <v>11</v>
      </c>
      <c r="U36" s="1464">
        <f t="shared" si="13"/>
        <v>100</v>
      </c>
      <c r="V36" s="1463" t="s">
        <v>11</v>
      </c>
      <c r="W36" s="1464">
        <f t="shared" si="14"/>
        <v>100</v>
      </c>
      <c r="X36" s="1457"/>
      <c r="Y36" s="3773"/>
      <c r="Z36" s="1465" t="str">
        <f t="shared" si="15"/>
        <v>公共部分装修</v>
      </c>
      <c r="AA36" s="1466">
        <f t="shared" si="3"/>
        <v>1</v>
      </c>
      <c r="AB36" s="1466">
        <f t="shared" si="4"/>
        <v>1</v>
      </c>
      <c r="AC36" s="1466">
        <f t="shared" si="5"/>
        <v>1</v>
      </c>
    </row>
    <row r="37" spans="1:29" s="1166" customFormat="1" ht="15">
      <c r="A37" s="577"/>
      <c r="B37" s="504" t="s">
        <v>712</v>
      </c>
      <c r="C37" s="854">
        <v>1</v>
      </c>
      <c r="D37" s="253">
        <v>100</v>
      </c>
      <c r="E37" s="855">
        <v>1</v>
      </c>
      <c r="F37" s="835">
        <f>LOOKUP(E37,112:112,113:113)-LOOKUP(C37,112:112,113:113)+100</f>
        <v>100</v>
      </c>
      <c r="G37" s="856">
        <v>1</v>
      </c>
      <c r="H37" s="253">
        <f>LOOKUP(G37,112:112,113:113)-LOOKUP(C37,112:112,113:113)+100</f>
        <v>100</v>
      </c>
      <c r="I37" s="855">
        <v>1</v>
      </c>
      <c r="J37" s="253">
        <f>LOOKUP(I37,112:112,113:113)-LOOKUP(C37,112:112,113:113)+100</f>
        <v>100</v>
      </c>
      <c r="K37" s="836">
        <v>1</v>
      </c>
      <c r="L37" s="1971"/>
      <c r="M37" s="1972"/>
      <c r="N37" s="1972"/>
      <c r="O37" s="1973"/>
      <c r="P37" s="3773"/>
      <c r="Q37" s="1097" t="str">
        <f t="shared" si="11"/>
        <v>成新度</v>
      </c>
      <c r="R37" s="1458" t="s">
        <v>11</v>
      </c>
      <c r="S37" s="1459">
        <f t="shared" si="12"/>
        <v>100</v>
      </c>
      <c r="T37" s="1458" t="s">
        <v>11</v>
      </c>
      <c r="U37" s="1459">
        <f t="shared" si="13"/>
        <v>100</v>
      </c>
      <c r="V37" s="1458" t="s">
        <v>11</v>
      </c>
      <c r="W37" s="1459">
        <f t="shared" si="14"/>
        <v>100</v>
      </c>
      <c r="X37" s="1460"/>
      <c r="Y37" s="3773"/>
      <c r="Z37" s="1096" t="str">
        <f t="shared" si="15"/>
        <v>成新度</v>
      </c>
      <c r="AA37" s="1461">
        <f t="shared" si="3"/>
        <v>1</v>
      </c>
      <c r="AB37" s="1461">
        <f t="shared" si="4"/>
        <v>1</v>
      </c>
      <c r="AC37" s="1461">
        <f t="shared" si="5"/>
        <v>1</v>
      </c>
    </row>
    <row r="38" spans="1:29" ht="15">
      <c r="A38" s="571"/>
      <c r="B38" s="504" t="s">
        <v>713</v>
      </c>
      <c r="C38" s="576" t="s">
        <v>4014</v>
      </c>
      <c r="D38" s="517">
        <v>100</v>
      </c>
      <c r="E38" s="576" t="s">
        <v>4014</v>
      </c>
      <c r="F38" s="552">
        <f>SUMIF(114:114,E38,115:115)-SUMIF(114:114,C38,115:115)+100</f>
        <v>100</v>
      </c>
      <c r="G38" s="576" t="s">
        <v>4014</v>
      </c>
      <c r="H38" s="517">
        <f>SUMIF(114:114,G38,115:115)-SUMIF(114:114,C38,115:115)+100</f>
        <v>100</v>
      </c>
      <c r="I38" s="576" t="s">
        <v>4014</v>
      </c>
      <c r="J38" s="517">
        <f>SUMIF(114:114,I38,115:115)-SUMIF(114:114,C38,115:115)+100</f>
        <v>100</v>
      </c>
      <c r="K38" s="836">
        <v>2</v>
      </c>
      <c r="L38" s="1978"/>
      <c r="M38" s="1970"/>
      <c r="N38" s="1970"/>
      <c r="O38" s="1977"/>
      <c r="P38" s="3773" t="s">
        <v>533</v>
      </c>
      <c r="Q38" s="1462" t="str">
        <f t="shared" si="11"/>
        <v>物业管理</v>
      </c>
      <c r="R38" s="1463" t="s">
        <v>11</v>
      </c>
      <c r="S38" s="1464">
        <f t="shared" si="12"/>
        <v>100</v>
      </c>
      <c r="T38" s="1463" t="s">
        <v>11</v>
      </c>
      <c r="U38" s="1464">
        <f t="shared" si="13"/>
        <v>100</v>
      </c>
      <c r="V38" s="1463" t="s">
        <v>11</v>
      </c>
      <c r="W38" s="1464">
        <f t="shared" si="14"/>
        <v>100</v>
      </c>
      <c r="X38" s="1457"/>
      <c r="Y38" s="3773" t="s">
        <v>533</v>
      </c>
      <c r="Z38" s="1465" t="str">
        <f t="shared" si="15"/>
        <v>物业管理</v>
      </c>
      <c r="AA38" s="1466">
        <f t="shared" si="3"/>
        <v>1</v>
      </c>
      <c r="AB38" s="1466">
        <f t="shared" si="4"/>
        <v>1</v>
      </c>
      <c r="AC38" s="1466">
        <f t="shared" si="5"/>
        <v>1</v>
      </c>
    </row>
    <row r="39" spans="1:29" ht="15">
      <c r="A39" s="571"/>
      <c r="B39" s="1764" t="s">
        <v>2281</v>
      </c>
      <c r="C39" s="576" t="s">
        <v>3992</v>
      </c>
      <c r="D39" s="517">
        <v>100</v>
      </c>
      <c r="E39" s="576" t="s">
        <v>3992</v>
      </c>
      <c r="F39" s="552">
        <f>SUMIF(116:116,E39,117:117)-SUMIF(116:116,C39,117:117)+100</f>
        <v>100</v>
      </c>
      <c r="G39" s="576" t="s">
        <v>3992</v>
      </c>
      <c r="H39" s="517">
        <f>SUMIF(116:116,G39,117:117)-SUMIF(116:116,C39,117:117)+100</f>
        <v>100</v>
      </c>
      <c r="I39" s="576" t="s">
        <v>3992</v>
      </c>
      <c r="J39" s="517">
        <f>SUMIF(116:116,I39,117:117)-SUMIF(116:116,C39,117:117)+100</f>
        <v>100</v>
      </c>
      <c r="K39" s="836">
        <v>1</v>
      </c>
      <c r="L39" s="1978"/>
      <c r="M39" s="1970"/>
      <c r="N39" s="1970"/>
      <c r="O39" s="1977"/>
      <c r="P39" s="3773"/>
      <c r="Q39" s="1462" t="str">
        <f t="shared" si="11"/>
        <v>市政基础设施</v>
      </c>
      <c r="R39" s="1463" t="s">
        <v>11</v>
      </c>
      <c r="S39" s="1464">
        <f t="shared" si="12"/>
        <v>100</v>
      </c>
      <c r="T39" s="1463" t="s">
        <v>11</v>
      </c>
      <c r="U39" s="1464">
        <f t="shared" si="13"/>
        <v>100</v>
      </c>
      <c r="V39" s="1463" t="s">
        <v>11</v>
      </c>
      <c r="W39" s="1464">
        <f t="shared" si="14"/>
        <v>100</v>
      </c>
      <c r="X39" s="1457"/>
      <c r="Y39" s="3773"/>
      <c r="Z39" s="1465" t="str">
        <f t="shared" si="15"/>
        <v>市政基础设施</v>
      </c>
      <c r="AA39" s="1466">
        <f t="shared" si="3"/>
        <v>1</v>
      </c>
      <c r="AB39" s="1466">
        <f t="shared" si="4"/>
        <v>1</v>
      </c>
      <c r="AC39" s="1466">
        <f t="shared" si="5"/>
        <v>1</v>
      </c>
    </row>
    <row r="40" spans="1:29" ht="15" hidden="1">
      <c r="A40" s="571"/>
      <c r="B40" s="504" t="s">
        <v>714</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78"/>
      <c r="M40" s="1970"/>
      <c r="N40" s="1970"/>
      <c r="O40" s="1977"/>
      <c r="P40" s="3773"/>
      <c r="Q40" s="1462" t="str">
        <f t="shared" si="11"/>
        <v>房型</v>
      </c>
      <c r="R40" s="1463" t="s">
        <v>11</v>
      </c>
      <c r="S40" s="1464">
        <f t="shared" si="12"/>
        <v>100</v>
      </c>
      <c r="T40" s="1463" t="s">
        <v>11</v>
      </c>
      <c r="U40" s="1464">
        <f t="shared" si="13"/>
        <v>100</v>
      </c>
      <c r="V40" s="1463" t="s">
        <v>11</v>
      </c>
      <c r="W40" s="1464">
        <f t="shared" si="14"/>
        <v>100</v>
      </c>
      <c r="X40" s="1457"/>
      <c r="Y40" s="3773"/>
      <c r="Z40" s="1465" t="str">
        <f t="shared" si="15"/>
        <v>房型</v>
      </c>
      <c r="AA40" s="1466">
        <f t="shared" si="3"/>
        <v>1</v>
      </c>
      <c r="AB40" s="1466">
        <f t="shared" si="4"/>
        <v>1</v>
      </c>
      <c r="AC40" s="1466">
        <f t="shared" si="5"/>
        <v>1</v>
      </c>
    </row>
    <row r="41" spans="1:29" s="1248" customFormat="1" ht="28.5" hidden="1">
      <c r="A41" s="580"/>
      <c r="B41" s="504" t="s">
        <v>715</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76"/>
      <c r="M41" s="2006"/>
      <c r="N41" s="2006"/>
      <c r="O41" s="1979"/>
      <c r="P41" s="3773"/>
      <c r="Q41" s="1491" t="str">
        <f t="shared" si="11"/>
        <v>单套/主力户型建筑面积</v>
      </c>
      <c r="R41" s="1467" t="s">
        <v>11</v>
      </c>
      <c r="S41" s="1468">
        <f t="shared" si="12"/>
        <v>100</v>
      </c>
      <c r="T41" s="1467" t="s">
        <v>11</v>
      </c>
      <c r="U41" s="1468">
        <f t="shared" si="13"/>
        <v>100</v>
      </c>
      <c r="V41" s="1467" t="s">
        <v>11</v>
      </c>
      <c r="W41" s="1468">
        <f t="shared" si="14"/>
        <v>100</v>
      </c>
      <c r="X41" s="1469"/>
      <c r="Y41" s="3773"/>
      <c r="Z41" s="1470" t="str">
        <f t="shared" si="15"/>
        <v>单套/主力户型建筑面积</v>
      </c>
      <c r="AA41" s="1466">
        <f t="shared" si="3"/>
        <v>1</v>
      </c>
      <c r="AB41" s="1466">
        <f t="shared" si="4"/>
        <v>1</v>
      </c>
      <c r="AC41" s="1466">
        <f t="shared" si="5"/>
        <v>1</v>
      </c>
    </row>
    <row r="42" spans="1:29" ht="15.75" thickBot="1">
      <c r="A42" s="571"/>
      <c r="B42" s="504" t="s">
        <v>716</v>
      </c>
      <c r="C42" s="576" t="s">
        <v>4013</v>
      </c>
      <c r="D42" s="517">
        <v>100</v>
      </c>
      <c r="E42" s="576" t="s">
        <v>4013</v>
      </c>
      <c r="F42" s="552">
        <f>SUMIF(122:122,E42,123:123)-SUMIF(122:122,C42,123:123)+100</f>
        <v>100</v>
      </c>
      <c r="G42" s="576" t="s">
        <v>4013</v>
      </c>
      <c r="H42" s="517">
        <f>SUMIF(122:122,G42,123:123)-SUMIF(122:122,C42,123:123)+100</f>
        <v>100</v>
      </c>
      <c r="I42" s="576" t="s">
        <v>4013</v>
      </c>
      <c r="J42" s="517">
        <f>SUMIF(122:122,I42,123:123)-SUMIF(122:122,C42,123:123)+100</f>
        <v>100</v>
      </c>
      <c r="K42" s="836">
        <v>2</v>
      </c>
      <c r="L42" s="1978"/>
      <c r="M42" s="1970"/>
      <c r="N42" s="1970"/>
      <c r="O42" s="1977"/>
      <c r="P42" s="3773"/>
      <c r="Q42" s="1462" t="str">
        <f t="shared" si="11"/>
        <v>内部装修</v>
      </c>
      <c r="R42" s="1463" t="s">
        <v>11</v>
      </c>
      <c r="S42" s="1464">
        <f t="shared" si="12"/>
        <v>100</v>
      </c>
      <c r="T42" s="1463" t="s">
        <v>11</v>
      </c>
      <c r="U42" s="1464">
        <f t="shared" si="13"/>
        <v>100</v>
      </c>
      <c r="V42" s="1463" t="s">
        <v>11</v>
      </c>
      <c r="W42" s="1464">
        <f t="shared" si="14"/>
        <v>100</v>
      </c>
      <c r="X42" s="1457"/>
      <c r="Y42" s="3773"/>
      <c r="Z42" s="1465" t="str">
        <f t="shared" si="15"/>
        <v>内部装修</v>
      </c>
      <c r="AA42" s="1466">
        <f t="shared" si="3"/>
        <v>1</v>
      </c>
      <c r="AB42" s="1466">
        <f t="shared" si="4"/>
        <v>1</v>
      </c>
      <c r="AC42" s="1466">
        <f t="shared" si="5"/>
        <v>1</v>
      </c>
    </row>
    <row r="43" spans="1:29" ht="27" hidden="1">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773"/>
      <c r="Q43" s="1462" t="str">
        <f t="shared" si="11"/>
        <v>内部装修维护情况</v>
      </c>
      <c r="R43" s="1463" t="s">
        <v>11</v>
      </c>
      <c r="S43" s="1464">
        <f t="shared" si="12"/>
        <v>100</v>
      </c>
      <c r="T43" s="1463" t="s">
        <v>11</v>
      </c>
      <c r="U43" s="1464">
        <f t="shared" si="13"/>
        <v>100</v>
      </c>
      <c r="V43" s="1463" t="s">
        <v>11</v>
      </c>
      <c r="W43" s="1464">
        <f t="shared" si="14"/>
        <v>100</v>
      </c>
      <c r="X43" s="1457"/>
      <c r="Y43" s="3773"/>
      <c r="Z43" s="1465" t="str">
        <f t="shared" si="15"/>
        <v>内部装修维护情况</v>
      </c>
      <c r="AA43" s="1466">
        <f t="shared" si="3"/>
        <v>1</v>
      </c>
      <c r="AB43" s="1466">
        <f t="shared" si="4"/>
        <v>1</v>
      </c>
      <c r="AC43" s="1466">
        <f t="shared" si="5"/>
        <v>1</v>
      </c>
    </row>
    <row r="44" spans="1:29" s="1166"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71"/>
      <c r="M44" s="1972"/>
      <c r="N44" s="1972"/>
      <c r="O44" s="1973"/>
      <c r="P44" s="3773"/>
      <c r="Q44" s="1097">
        <f t="shared" si="11"/>
        <v>111</v>
      </c>
      <c r="R44" s="1458" t="s">
        <v>11</v>
      </c>
      <c r="S44" s="1459">
        <f t="shared" si="12"/>
        <v>100</v>
      </c>
      <c r="T44" s="1458" t="s">
        <v>11</v>
      </c>
      <c r="U44" s="1459">
        <f t="shared" si="13"/>
        <v>100</v>
      </c>
      <c r="V44" s="1458" t="s">
        <v>11</v>
      </c>
      <c r="W44" s="1459">
        <f t="shared" si="14"/>
        <v>100</v>
      </c>
      <c r="X44" s="1460"/>
      <c r="Y44" s="3773"/>
      <c r="Z44" s="1096">
        <f t="shared" si="15"/>
        <v>111</v>
      </c>
      <c r="AA44" s="1461">
        <f t="shared" si="3"/>
        <v>1</v>
      </c>
      <c r="AB44" s="1461">
        <f t="shared" si="4"/>
        <v>1</v>
      </c>
      <c r="AC44" s="1461">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773"/>
      <c r="Q45" s="1462">
        <f t="shared" si="11"/>
        <v>111</v>
      </c>
      <c r="R45" s="1463" t="s">
        <v>11</v>
      </c>
      <c r="S45" s="1464">
        <f t="shared" si="12"/>
        <v>100</v>
      </c>
      <c r="T45" s="1463" t="s">
        <v>11</v>
      </c>
      <c r="U45" s="1464">
        <f t="shared" si="13"/>
        <v>100</v>
      </c>
      <c r="V45" s="1463" t="s">
        <v>11</v>
      </c>
      <c r="W45" s="1464">
        <f t="shared" si="14"/>
        <v>100</v>
      </c>
      <c r="X45" s="1457"/>
      <c r="Y45" s="3773"/>
      <c r="Z45" s="1465">
        <f t="shared" si="15"/>
        <v>111</v>
      </c>
      <c r="AA45" s="1466">
        <f t="shared" si="3"/>
        <v>1</v>
      </c>
      <c r="AB45" s="1466">
        <f t="shared" si="4"/>
        <v>1</v>
      </c>
      <c r="AC45" s="1466">
        <f t="shared" si="5"/>
        <v>1</v>
      </c>
    </row>
    <row r="46" spans="1:29" ht="15.75" hidden="1"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866"/>
      <c r="Q46" s="1462">
        <f t="shared" si="11"/>
        <v>111</v>
      </c>
      <c r="R46" s="1463" t="s">
        <v>10</v>
      </c>
      <c r="S46" s="1464">
        <f t="shared" si="12"/>
        <v>100</v>
      </c>
      <c r="T46" s="1463" t="s">
        <v>10</v>
      </c>
      <c r="U46" s="1464">
        <f t="shared" si="13"/>
        <v>100</v>
      </c>
      <c r="V46" s="1463" t="s">
        <v>10</v>
      </c>
      <c r="W46" s="1464">
        <f t="shared" si="14"/>
        <v>100</v>
      </c>
      <c r="X46" s="1457"/>
      <c r="Y46" s="3866"/>
      <c r="Z46" s="1465">
        <f t="shared" si="15"/>
        <v>111</v>
      </c>
      <c r="AA46" s="1466">
        <f t="shared" si="3"/>
        <v>1</v>
      </c>
      <c r="AB46" s="1466">
        <f t="shared" si="4"/>
        <v>1</v>
      </c>
      <c r="AC46" s="1466">
        <f t="shared" si="5"/>
        <v>1</v>
      </c>
    </row>
    <row r="47" spans="1:29" ht="15">
      <c r="A47" s="584" t="s">
        <v>718</v>
      </c>
      <c r="B47" s="858"/>
      <c r="C47" s="2392" t="s">
        <v>9</v>
      </c>
      <c r="D47" s="2393"/>
      <c r="E47" s="2394">
        <v>29129</v>
      </c>
      <c r="F47" s="2395"/>
      <c r="G47" s="2396">
        <v>27682</v>
      </c>
      <c r="H47" s="2397"/>
      <c r="I47" s="2394">
        <v>28580</v>
      </c>
      <c r="J47" s="2397"/>
      <c r="K47" s="1492"/>
      <c r="L47" s="1980"/>
      <c r="M47" s="1981"/>
      <c r="N47" s="1970"/>
      <c r="O47" s="1981"/>
      <c r="P47" s="3737" t="str">
        <f>A47</f>
        <v>成交单价（元/平方米）</v>
      </c>
      <c r="Q47" s="3737"/>
      <c r="R47" s="3865">
        <f>E47</f>
        <v>29129</v>
      </c>
      <c r="S47" s="3865"/>
      <c r="T47" s="3865">
        <f>G47</f>
        <v>27682</v>
      </c>
      <c r="U47" s="3865"/>
      <c r="V47" s="3865">
        <f>I47</f>
        <v>28580</v>
      </c>
      <c r="W47" s="3865"/>
      <c r="X47" s="1452"/>
      <c r="Y47" s="1471"/>
      <c r="Z47" s="1452"/>
      <c r="AA47" s="1452"/>
      <c r="AB47" s="1452"/>
      <c r="AC47" s="1452"/>
    </row>
    <row r="48" spans="1:29" ht="15.75" thickBot="1">
      <c r="A48" s="592" t="s">
        <v>2476</v>
      </c>
      <c r="B48" s="859"/>
      <c r="C48" s="2398">
        <f>R49</f>
        <v>28558</v>
      </c>
      <c r="D48" s="2922" t="s">
        <v>2700</v>
      </c>
      <c r="E48" s="2399">
        <f>R48</f>
        <v>29129</v>
      </c>
      <c r="F48" s="2923"/>
      <c r="G48" s="2398">
        <f>T48</f>
        <v>27821</v>
      </c>
      <c r="H48" s="2923"/>
      <c r="I48" s="2399">
        <f>V48</f>
        <v>28724</v>
      </c>
      <c r="J48" s="2923"/>
      <c r="K48" s="2931">
        <f>F48+H48+J48</f>
        <v>0</v>
      </c>
      <c r="L48" s="1980"/>
      <c r="M48" s="1981"/>
      <c r="N48" s="1981"/>
      <c r="O48" s="1981"/>
      <c r="P48" s="3737" t="str">
        <f>A48</f>
        <v>比较价格（元/平方米）</v>
      </c>
      <c r="Q48" s="3737"/>
      <c r="R48" s="3865">
        <f>IF(F1="售价",ROUND(PRODUCT(R47,AA7:AA46),0),ROUND(PRODUCT(R47,AA7:AA46),1))</f>
        <v>29129</v>
      </c>
      <c r="S48" s="3865"/>
      <c r="T48" s="3865">
        <f>IF(F1="售价",ROUND(PRODUCT(T47,AB7:AB46),0),ROUND(PRODUCT(T47,AB7:AB46),1))</f>
        <v>27821</v>
      </c>
      <c r="U48" s="3865"/>
      <c r="V48" s="3865">
        <f>IF(F1="售价",ROUND(PRODUCT(V47,AC7:AC46),0),ROUND(PRODUCT(V47,AC7:AC46),1))</f>
        <v>28724</v>
      </c>
      <c r="W48" s="3865"/>
      <c r="X48" s="1452"/>
      <c r="Y48" s="1452"/>
      <c r="Z48" s="1452"/>
      <c r="AA48" s="1452"/>
      <c r="AB48" s="1452"/>
      <c r="AC48" s="1452"/>
    </row>
    <row r="49" spans="1:29" ht="15.75" thickBot="1">
      <c r="A49" s="596" t="s">
        <v>2635</v>
      </c>
      <c r="B49" s="597"/>
      <c r="C49" s="2400">
        <f>R49</f>
        <v>28558</v>
      </c>
      <c r="D49" s="2400"/>
      <c r="E49" s="2400"/>
      <c r="F49" s="2400"/>
      <c r="G49" s="2400"/>
      <c r="H49" s="2400"/>
      <c r="I49" s="2400"/>
      <c r="J49" s="2400"/>
      <c r="K49" s="1493"/>
      <c r="L49" s="1980"/>
      <c r="M49" s="1981"/>
      <c r="N49" s="1981"/>
      <c r="O49" s="1981"/>
      <c r="P49" s="3774" t="str">
        <f>A49</f>
        <v>估价对象XX用房的比较价格（楼面单价，元/平方米）</v>
      </c>
      <c r="Q49" s="3775"/>
      <c r="R49" s="3864">
        <f>IF(F1="售价",ROUND(IF(D48="简单平均",AVERAGE(R48:V48),R48*F48+T48*H48+V48*J48),0),ROUND(IF(D48="简单平均",AVERAGE(R48:V48),R48*F48+T48*H48+V48*J48),1))</f>
        <v>28558</v>
      </c>
      <c r="S49" s="3864"/>
      <c r="T49" s="3864"/>
      <c r="U49" s="3864"/>
      <c r="V49" s="3864"/>
      <c r="W49" s="3864"/>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0</v>
      </c>
      <c r="F52" s="602" t="str">
        <f>IF(OR(E52&gt;=0.3,E52&lt;=-0.3),"超过30%","")</f>
        <v/>
      </c>
      <c r="G52" s="601">
        <f>IF(G47&lt;G48,G48/G47-1,G47/G48-1)</f>
        <v>5.0213134889096622E-3</v>
      </c>
      <c r="H52" s="602" t="str">
        <f>IF(OR(G52&gt;=0.3,G52&lt;=-0.3),"超过30%","")</f>
        <v/>
      </c>
      <c r="I52" s="601">
        <f>IF(I47&lt;I48,I48/I47-1,I47/I48-1)</f>
        <v>5.0384884534639962E-3</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4.7014844901333452E-2</v>
      </c>
      <c r="F53" s="602" t="str">
        <f>IF(OR(E53&gt;=0.2,E53&lt;=-0.2),"超过20%","")</f>
        <v/>
      </c>
      <c r="G53" s="601">
        <f>IF(G48&lt;I48,I48/G48-1,G48/I48-1)</f>
        <v>3.2457496136012454E-2</v>
      </c>
      <c r="H53" s="602" t="str">
        <f>IF(OR(G53&gt;=0.2,G53&lt;=-0.2),"超过20%","")</f>
        <v/>
      </c>
      <c r="I53" s="601">
        <f>IF(I48&lt;E48,E48/I48-1,I48/E48-1)</f>
        <v>1.4099707561620933E-2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5.2272234665125428E-2</v>
      </c>
      <c r="F54" s="602" t="str">
        <f>IF(OR(E54&gt;=0.3,E54&lt;=-0.3),"超过30%","")</f>
        <v/>
      </c>
      <c r="G54" s="601">
        <f>IF(G47&lt;I47,I47/G47-1,G47/I47-1)</f>
        <v>3.2439852611805486E-2</v>
      </c>
      <c r="H54" s="602" t="str">
        <f>IF(OR(G54&gt;=0.3,G54&lt;=-0.3),"超过30%","")</f>
        <v/>
      </c>
      <c r="I54" s="601">
        <f>IF(I47&lt;E47,E47/I47-1,I47/E47-1)</f>
        <v>1.9209237228831277E-2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v>100</v>
      </c>
      <c r="E59" s="625">
        <v>100</v>
      </c>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t="str">
        <f>C9</f>
        <v>住宅</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98</v>
      </c>
      <c r="E66" s="654">
        <f t="shared" si="17"/>
        <v>96</v>
      </c>
      <c r="F66" s="654">
        <f t="shared" si="17"/>
        <v>94</v>
      </c>
      <c r="G66" s="654">
        <f t="shared" si="17"/>
        <v>92</v>
      </c>
      <c r="H66" s="654">
        <f t="shared" si="17"/>
        <v>90</v>
      </c>
      <c r="I66" s="654">
        <f t="shared" si="17"/>
        <v>88</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v>4</v>
      </c>
      <c r="H68" s="518">
        <v>5</v>
      </c>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97</v>
      </c>
      <c r="E69" s="654">
        <f t="shared" si="19"/>
        <v>94</v>
      </c>
      <c r="F69" s="654">
        <f t="shared" si="19"/>
        <v>91</v>
      </c>
      <c r="G69" s="654">
        <f t="shared" si="19"/>
        <v>88</v>
      </c>
      <c r="H69" s="654">
        <f t="shared" si="19"/>
        <v>85</v>
      </c>
      <c r="I69" s="654">
        <f t="shared" si="19"/>
        <v>82</v>
      </c>
      <c r="J69" s="654">
        <f t="shared" si="19"/>
        <v>79</v>
      </c>
      <c r="K69" s="654">
        <f t="shared" si="19"/>
        <v>76</v>
      </c>
      <c r="L69" s="654">
        <f t="shared" si="19"/>
        <v>73</v>
      </c>
      <c r="M69" s="655">
        <f t="shared" si="19"/>
        <v>70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95</v>
      </c>
      <c r="E77" s="654">
        <f>D77-$K15</f>
        <v>90</v>
      </c>
      <c r="F77" s="654">
        <f>E77-$K15</f>
        <v>85</v>
      </c>
      <c r="G77" s="654">
        <f>F77-$K15</f>
        <v>80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97</v>
      </c>
      <c r="E79" s="654">
        <f>D79-$K17</f>
        <v>94</v>
      </c>
      <c r="F79" s="654">
        <f>E79-$K17</f>
        <v>91</v>
      </c>
      <c r="G79" s="654">
        <f>F79-$K17</f>
        <v>88</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2274</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98</v>
      </c>
      <c r="E81" s="654">
        <f>D81-$K19</f>
        <v>96</v>
      </c>
      <c r="F81" s="654">
        <f>E81-$K19</f>
        <v>94</v>
      </c>
      <c r="G81" s="654">
        <f>F81-$K19</f>
        <v>92</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2275</v>
      </c>
      <c r="C82" s="2364" t="s">
        <v>2276</v>
      </c>
      <c r="D82" s="2364" t="s">
        <v>2277</v>
      </c>
      <c r="E82" s="2364" t="s">
        <v>2278</v>
      </c>
      <c r="F82" s="2364" t="s">
        <v>2279</v>
      </c>
      <c r="G82" s="2364" t="s">
        <v>2280</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99</v>
      </c>
      <c r="E83" s="654">
        <f>D83-$K21</f>
        <v>98</v>
      </c>
      <c r="F83" s="654">
        <f>E83-$K21</f>
        <v>97</v>
      </c>
      <c r="G83" s="654">
        <f>F83-$K21</f>
        <v>96</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98</v>
      </c>
      <c r="E85" s="654">
        <f>D85-$K23</f>
        <v>96</v>
      </c>
      <c r="F85" s="654">
        <f>E85-$K23</f>
        <v>94</v>
      </c>
      <c r="G85" s="654">
        <f>F85-$K23</f>
        <v>92</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3520" t="s">
        <v>4011</v>
      </c>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98</v>
      </c>
      <c r="E101" s="654">
        <f t="shared" si="22"/>
        <v>96</v>
      </c>
      <c r="F101" s="654">
        <f t="shared" si="22"/>
        <v>94</v>
      </c>
      <c r="G101" s="654">
        <f t="shared" si="22"/>
        <v>92</v>
      </c>
      <c r="H101" s="654">
        <f t="shared" si="22"/>
        <v>90</v>
      </c>
      <c r="I101" s="654">
        <f t="shared" si="22"/>
        <v>88</v>
      </c>
      <c r="J101" s="654">
        <f t="shared" si="22"/>
        <v>86</v>
      </c>
      <c r="K101" s="654">
        <f t="shared" si="22"/>
        <v>84</v>
      </c>
      <c r="L101" s="654">
        <f t="shared" si="22"/>
        <v>82</v>
      </c>
      <c r="M101" s="654">
        <f t="shared" si="22"/>
        <v>80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0(含)-200000</v>
      </c>
      <c r="D102" s="683" t="str">
        <f t="shared" ref="D102:L102" si="23">D103&amp;"(含)"&amp;"-"&amp;E103</f>
        <v>200000(含)-400000</v>
      </c>
      <c r="E102" s="683" t="str">
        <f t="shared" si="23"/>
        <v>400000(含)-600000</v>
      </c>
      <c r="F102" s="683" t="str">
        <f t="shared" si="23"/>
        <v>600000(含)-800000</v>
      </c>
      <c r="G102" s="683" t="str">
        <f t="shared" si="23"/>
        <v>800000(含)-1000000</v>
      </c>
      <c r="H102" s="683" t="str">
        <f t="shared" si="23"/>
        <v>1000000(含)-1200000</v>
      </c>
      <c r="I102" s="683" t="str">
        <f t="shared" si="23"/>
        <v>1200000(含)-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f t="shared" ref="D103:I103" si="24">C103+200000</f>
        <v>200000</v>
      </c>
      <c r="E103" s="705">
        <f t="shared" si="24"/>
        <v>400000</v>
      </c>
      <c r="F103" s="705">
        <f t="shared" si="24"/>
        <v>600000</v>
      </c>
      <c r="G103" s="705">
        <f t="shared" si="24"/>
        <v>800000</v>
      </c>
      <c r="H103" s="705">
        <f t="shared" si="24"/>
        <v>1000000</v>
      </c>
      <c r="I103" s="705">
        <f t="shared" si="24"/>
        <v>1200000</v>
      </c>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f t="shared" ref="D104:I104" si="25">C104+0.5</f>
        <v>100.5</v>
      </c>
      <c r="E104" s="646">
        <f t="shared" si="25"/>
        <v>101</v>
      </c>
      <c r="F104" s="646">
        <f t="shared" si="25"/>
        <v>101.5</v>
      </c>
      <c r="G104" s="646">
        <f t="shared" si="25"/>
        <v>102</v>
      </c>
      <c r="H104" s="646">
        <f t="shared" si="25"/>
        <v>102.5</v>
      </c>
      <c r="I104" s="646">
        <f t="shared" si="25"/>
        <v>103</v>
      </c>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3530" t="s">
        <v>4009</v>
      </c>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6">C106-$K34</f>
        <v>98</v>
      </c>
      <c r="E106" s="654">
        <f t="shared" si="26"/>
        <v>96</v>
      </c>
      <c r="F106" s="654">
        <f t="shared" si="26"/>
        <v>94</v>
      </c>
      <c r="G106" s="654">
        <f t="shared" si="26"/>
        <v>92</v>
      </c>
      <c r="H106" s="654">
        <f t="shared" si="26"/>
        <v>90</v>
      </c>
      <c r="I106" s="654">
        <f t="shared" si="26"/>
        <v>88</v>
      </c>
      <c r="J106" s="654">
        <f t="shared" si="26"/>
        <v>86</v>
      </c>
      <c r="K106" s="654">
        <f t="shared" si="26"/>
        <v>84</v>
      </c>
      <c r="L106" s="654">
        <f t="shared" si="26"/>
        <v>82</v>
      </c>
      <c r="M106" s="654">
        <f t="shared" si="26"/>
        <v>80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3521" t="s">
        <v>4007</v>
      </c>
      <c r="D107" s="3521" t="s">
        <v>4008</v>
      </c>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7">C108-$K35</f>
        <v>98</v>
      </c>
      <c r="E108" s="654">
        <f t="shared" si="27"/>
        <v>96</v>
      </c>
      <c r="F108" s="654">
        <f t="shared" si="27"/>
        <v>94</v>
      </c>
      <c r="G108" s="654">
        <f t="shared" si="27"/>
        <v>92</v>
      </c>
      <c r="H108" s="654">
        <f t="shared" si="27"/>
        <v>90</v>
      </c>
      <c r="I108" s="654">
        <f t="shared" si="27"/>
        <v>88</v>
      </c>
      <c r="J108" s="654">
        <f t="shared" si="27"/>
        <v>86</v>
      </c>
      <c r="K108" s="654">
        <f t="shared" si="27"/>
        <v>84</v>
      </c>
      <c r="L108" s="654">
        <f t="shared" si="27"/>
        <v>82</v>
      </c>
      <c r="M108" s="654">
        <f t="shared" si="27"/>
        <v>80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3530" t="s">
        <v>4001</v>
      </c>
      <c r="D109" s="3530" t="s">
        <v>4002</v>
      </c>
      <c r="E109" s="3530" t="s">
        <v>4003</v>
      </c>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8">C110-$K36</f>
        <v>98</v>
      </c>
      <c r="E110" s="654">
        <f t="shared" si="28"/>
        <v>96</v>
      </c>
      <c r="F110" s="654">
        <f t="shared" si="28"/>
        <v>94</v>
      </c>
      <c r="G110" s="654">
        <f t="shared" si="28"/>
        <v>92</v>
      </c>
      <c r="H110" s="654">
        <f t="shared" si="28"/>
        <v>90</v>
      </c>
      <c r="I110" s="654">
        <f t="shared" si="28"/>
        <v>88</v>
      </c>
      <c r="J110" s="654">
        <f t="shared" si="28"/>
        <v>86</v>
      </c>
      <c r="K110" s="654">
        <f t="shared" si="28"/>
        <v>84</v>
      </c>
      <c r="L110" s="654">
        <f t="shared" si="28"/>
        <v>82</v>
      </c>
      <c r="M110" s="654">
        <f t="shared" si="28"/>
        <v>80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3530" t="s">
        <v>4006</v>
      </c>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9">C115-$K38</f>
        <v>98</v>
      </c>
      <c r="E115" s="654">
        <f t="shared" si="29"/>
        <v>96</v>
      </c>
      <c r="F115" s="654">
        <f t="shared" si="29"/>
        <v>94</v>
      </c>
      <c r="G115" s="654">
        <f t="shared" si="29"/>
        <v>92</v>
      </c>
      <c r="H115" s="654">
        <f t="shared" si="29"/>
        <v>90</v>
      </c>
      <c r="I115" s="654">
        <f t="shared" si="29"/>
        <v>88</v>
      </c>
      <c r="J115" s="654">
        <f t="shared" si="29"/>
        <v>86</v>
      </c>
      <c r="K115" s="654">
        <f t="shared" si="29"/>
        <v>84</v>
      </c>
      <c r="L115" s="654">
        <f t="shared" si="29"/>
        <v>82</v>
      </c>
      <c r="M115" s="654">
        <f t="shared" si="29"/>
        <v>80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2273</v>
      </c>
      <c r="C116" s="3530" t="s">
        <v>4004</v>
      </c>
      <c r="D116" s="3530" t="s">
        <v>4005</v>
      </c>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30">C119-$K40</f>
        <v>100</v>
      </c>
      <c r="E119" s="654">
        <f t="shared" si="30"/>
        <v>100</v>
      </c>
      <c r="F119" s="654">
        <f t="shared" si="30"/>
        <v>100</v>
      </c>
      <c r="G119" s="654">
        <f t="shared" si="30"/>
        <v>100</v>
      </c>
      <c r="H119" s="654">
        <f t="shared" si="30"/>
        <v>100</v>
      </c>
      <c r="I119" s="654">
        <f t="shared" si="30"/>
        <v>100</v>
      </c>
      <c r="J119" s="654">
        <f t="shared" si="30"/>
        <v>100</v>
      </c>
      <c r="K119" s="654">
        <f t="shared" si="30"/>
        <v>100</v>
      </c>
      <c r="L119" s="654">
        <f t="shared" si="30"/>
        <v>100</v>
      </c>
      <c r="M119" s="654">
        <f t="shared" si="30"/>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3530" t="s">
        <v>4001</v>
      </c>
      <c r="D122" s="3530" t="s">
        <v>4002</v>
      </c>
      <c r="E122" s="3530" t="s">
        <v>4003</v>
      </c>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1">C123-$K42</f>
        <v>98</v>
      </c>
      <c r="E123" s="654">
        <f t="shared" si="31"/>
        <v>96</v>
      </c>
      <c r="F123" s="654">
        <f t="shared" si="31"/>
        <v>94</v>
      </c>
      <c r="G123" s="654">
        <f t="shared" si="31"/>
        <v>92</v>
      </c>
      <c r="H123" s="654">
        <f t="shared" si="31"/>
        <v>90</v>
      </c>
      <c r="I123" s="654">
        <f t="shared" si="31"/>
        <v>88</v>
      </c>
      <c r="J123" s="654">
        <f t="shared" si="31"/>
        <v>86</v>
      </c>
      <c r="K123" s="654">
        <f t="shared" si="31"/>
        <v>84</v>
      </c>
      <c r="L123" s="654">
        <f t="shared" si="31"/>
        <v>82</v>
      </c>
      <c r="M123" s="654">
        <f t="shared" si="31"/>
        <v>80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743" t="s">
        <v>505</v>
      </c>
      <c r="D4" s="3744"/>
      <c r="E4" s="3778" t="s">
        <v>506</v>
      </c>
      <c r="F4" s="3779"/>
      <c r="G4" s="3743" t="s">
        <v>507</v>
      </c>
      <c r="H4" s="3744"/>
      <c r="I4" s="3743" t="s">
        <v>508</v>
      </c>
      <c r="J4" s="3744"/>
      <c r="K4" s="491" t="s">
        <v>509</v>
      </c>
      <c r="L4" s="1969"/>
      <c r="M4" s="1970"/>
      <c r="N4" s="1970"/>
      <c r="O4" s="1970"/>
      <c r="P4" s="3745" t="s">
        <v>510</v>
      </c>
      <c r="Q4" s="3746"/>
      <c r="R4" s="3751" t="s">
        <v>506</v>
      </c>
      <c r="S4" s="3752"/>
      <c r="T4" s="3751" t="s">
        <v>507</v>
      </c>
      <c r="U4" s="3752"/>
      <c r="V4" s="3738" t="s">
        <v>508</v>
      </c>
      <c r="W4" s="3738"/>
      <c r="X4" s="1457"/>
      <c r="Y4" s="3751" t="s">
        <v>510</v>
      </c>
      <c r="Z4" s="3752"/>
      <c r="AA4" s="3740" t="s">
        <v>506</v>
      </c>
      <c r="AB4" s="3738" t="s">
        <v>507</v>
      </c>
      <c r="AC4" s="3740" t="s">
        <v>508</v>
      </c>
    </row>
    <row r="5" spans="1:29" ht="15">
      <c r="A5" s="492"/>
      <c r="B5" s="493"/>
      <c r="C5" s="3759" t="s">
        <v>2629</v>
      </c>
      <c r="D5" s="3760"/>
      <c r="E5" s="3780" t="s">
        <v>2630</v>
      </c>
      <c r="F5" s="3781"/>
      <c r="G5" s="3759" t="s">
        <v>2631</v>
      </c>
      <c r="H5" s="3760"/>
      <c r="I5" s="3759" t="s">
        <v>2632</v>
      </c>
      <c r="J5" s="3760"/>
      <c r="K5" s="491"/>
      <c r="L5" s="1969"/>
      <c r="M5" s="1970"/>
      <c r="N5" s="1970"/>
      <c r="O5" s="1970"/>
      <c r="P5" s="3747"/>
      <c r="Q5" s="3748"/>
      <c r="R5" s="3753"/>
      <c r="S5" s="3754"/>
      <c r="T5" s="3753"/>
      <c r="U5" s="3754"/>
      <c r="V5" s="3738"/>
      <c r="W5" s="3738"/>
      <c r="X5" s="1457"/>
      <c r="Y5" s="3753"/>
      <c r="Z5" s="3754"/>
      <c r="AA5" s="3741"/>
      <c r="AB5" s="3738"/>
      <c r="AC5" s="3741"/>
    </row>
    <row r="6" spans="1:29" ht="15.75" thickBot="1">
      <c r="A6" s="494"/>
      <c r="B6" s="495"/>
      <c r="C6" s="3757" t="s">
        <v>2633</v>
      </c>
      <c r="D6" s="3758"/>
      <c r="E6" s="3776" t="s">
        <v>2633</v>
      </c>
      <c r="F6" s="3777"/>
      <c r="G6" s="3757" t="s">
        <v>2633</v>
      </c>
      <c r="H6" s="3758"/>
      <c r="I6" s="3757" t="s">
        <v>2633</v>
      </c>
      <c r="J6" s="3758"/>
      <c r="K6" s="491" t="s">
        <v>511</v>
      </c>
      <c r="L6" s="1969"/>
      <c r="M6" s="1970"/>
      <c r="N6" s="1970"/>
      <c r="O6" s="1970"/>
      <c r="P6" s="3749"/>
      <c r="Q6" s="3750"/>
      <c r="R6" s="3753"/>
      <c r="S6" s="3754"/>
      <c r="T6" s="3755"/>
      <c r="U6" s="3756"/>
      <c r="V6" s="3738"/>
      <c r="W6" s="3738"/>
      <c r="X6" s="1457"/>
      <c r="Y6" s="3755"/>
      <c r="Z6" s="3756"/>
      <c r="AA6" s="3742"/>
      <c r="AB6" s="3738"/>
      <c r="AC6" s="3742"/>
    </row>
    <row r="7" spans="1:29" s="1166" customFormat="1" ht="15.75" thickBot="1">
      <c r="A7" s="2551"/>
      <c r="B7" s="2558" t="s">
        <v>512</v>
      </c>
      <c r="C7" s="496">
        <f>'数据-取费表'!B2</f>
        <v>44747</v>
      </c>
      <c r="D7" s="497">
        <v>100</v>
      </c>
      <c r="E7" s="498"/>
      <c r="F7" s="499">
        <f>SUMIF(58:58,YEAR(E7)&amp;"-"&amp;MONTH(E7),59:59)</f>
        <v>0</v>
      </c>
      <c r="G7" s="498"/>
      <c r="H7" s="497">
        <f>SUMIF(58:58,YEAR(G7)&amp;"-"&amp;MONTH(G7),59:59)</f>
        <v>0</v>
      </c>
      <c r="I7" s="498"/>
      <c r="J7" s="497">
        <f>SUMIF(58:58,YEAR(I7)&amp;"-"&amp;MONTH(I7),59:59)</f>
        <v>0</v>
      </c>
      <c r="K7" s="501"/>
      <c r="L7" s="1971"/>
      <c r="M7" s="1972"/>
      <c r="N7" s="1972"/>
      <c r="O7" s="1972"/>
      <c r="P7" s="3767" t="s">
        <v>513</v>
      </c>
      <c r="Q7" s="3769"/>
      <c r="R7" s="1458" t="s">
        <v>8</v>
      </c>
      <c r="S7" s="1459">
        <f t="shared" ref="S7:S15" si="0">F7</f>
        <v>0</v>
      </c>
      <c r="T7" s="1458" t="s">
        <v>8</v>
      </c>
      <c r="U7" s="1459">
        <f t="shared" ref="U7:U15" si="1">H7</f>
        <v>0</v>
      </c>
      <c r="V7" s="1458" t="s">
        <v>8</v>
      </c>
      <c r="W7" s="1459">
        <f t="shared" ref="W7:W15" si="2">J7</f>
        <v>0</v>
      </c>
      <c r="X7" s="1460"/>
      <c r="Y7" s="3767" t="s">
        <v>513</v>
      </c>
      <c r="Z7" s="3768"/>
      <c r="AA7" s="1461" t="e">
        <f>D7/F7</f>
        <v>#DIV/0!</v>
      </c>
      <c r="AB7" s="1461" t="e">
        <f>D7/H7</f>
        <v>#DIV/0!</v>
      </c>
      <c r="AC7" s="1461" t="e">
        <f>D7/J7</f>
        <v>#DIV/0!</v>
      </c>
    </row>
    <row r="8" spans="1:29" s="1166"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767" t="s">
        <v>516</v>
      </c>
      <c r="Q8" s="3768"/>
      <c r="R8" s="1458" t="s">
        <v>8</v>
      </c>
      <c r="S8" s="1459">
        <f t="shared" si="0"/>
        <v>0</v>
      </c>
      <c r="T8" s="1458" t="s">
        <v>8</v>
      </c>
      <c r="U8" s="1459">
        <f t="shared" si="1"/>
        <v>0</v>
      </c>
      <c r="V8" s="1458" t="s">
        <v>8</v>
      </c>
      <c r="W8" s="1459">
        <f t="shared" si="2"/>
        <v>0</v>
      </c>
      <c r="X8" s="1460"/>
      <c r="Y8" s="3767" t="s">
        <v>516</v>
      </c>
      <c r="Z8" s="3768"/>
      <c r="AA8" s="1461" t="e">
        <f t="shared" ref="AA8:AA46" si="3">D8/F8</f>
        <v>#DIV/0!</v>
      </c>
      <c r="AB8" s="1461" t="e">
        <f t="shared" ref="AB8:AB46" si="4">D8/H8</f>
        <v>#DIV/0!</v>
      </c>
      <c r="AC8" s="1461" t="e">
        <f t="shared" ref="AC8:AC46" si="5">D8/J8</f>
        <v>#DIV/0!</v>
      </c>
    </row>
    <row r="9" spans="1:29" s="1166" customFormat="1" ht="15">
      <c r="A9" s="2553"/>
      <c r="B9" s="2560" t="s">
        <v>2472</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737" t="s">
        <v>518</v>
      </c>
      <c r="Q9" s="1097" t="str">
        <f t="shared" ref="Q9:Q15" si="6">B9</f>
        <v>用途</v>
      </c>
      <c r="R9" s="1458" t="s">
        <v>8</v>
      </c>
      <c r="S9" s="1459">
        <f t="shared" si="0"/>
        <v>100</v>
      </c>
      <c r="T9" s="1458" t="s">
        <v>8</v>
      </c>
      <c r="U9" s="1459">
        <f t="shared" si="1"/>
        <v>100</v>
      </c>
      <c r="V9" s="1458" t="s">
        <v>8</v>
      </c>
      <c r="W9" s="1459">
        <f t="shared" si="2"/>
        <v>100</v>
      </c>
      <c r="X9" s="1460"/>
      <c r="Y9" s="3681"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737"/>
      <c r="Q11" s="1097" t="str">
        <f t="shared" si="6"/>
        <v>容积率</v>
      </c>
      <c r="R11" s="1458" t="s">
        <v>8</v>
      </c>
      <c r="S11" s="1459" t="e">
        <f t="shared" si="0"/>
        <v>#N/A</v>
      </c>
      <c r="T11" s="1458" t="s">
        <v>8</v>
      </c>
      <c r="U11" s="1459" t="e">
        <f t="shared" si="1"/>
        <v>#N/A</v>
      </c>
      <c r="V11" s="1458" t="s">
        <v>8</v>
      </c>
      <c r="W11" s="1459" t="e">
        <f t="shared" si="2"/>
        <v>#N/A</v>
      </c>
      <c r="X11" s="1460"/>
      <c r="Y11" s="3681"/>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737"/>
      <c r="Q12" s="1097">
        <f t="shared" si="6"/>
        <v>111</v>
      </c>
      <c r="R12" s="1458" t="s">
        <v>8</v>
      </c>
      <c r="S12" s="1459">
        <f t="shared" si="0"/>
        <v>100</v>
      </c>
      <c r="T12" s="1458" t="s">
        <v>8</v>
      </c>
      <c r="U12" s="1459">
        <f t="shared" si="1"/>
        <v>100</v>
      </c>
      <c r="V12" s="1458" t="s">
        <v>8</v>
      </c>
      <c r="W12" s="1459">
        <f t="shared" si="2"/>
        <v>100</v>
      </c>
      <c r="X12" s="1460"/>
      <c r="Y12" s="3681"/>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737"/>
      <c r="Q13" s="1097">
        <f t="shared" si="6"/>
        <v>111</v>
      </c>
      <c r="R13" s="1458" t="s">
        <v>8</v>
      </c>
      <c r="S13" s="1459">
        <f t="shared" si="0"/>
        <v>100</v>
      </c>
      <c r="T13" s="1458" t="s">
        <v>8</v>
      </c>
      <c r="U13" s="1459">
        <f t="shared" si="1"/>
        <v>100</v>
      </c>
      <c r="V13" s="1458" t="s">
        <v>8</v>
      </c>
      <c r="W13" s="1459">
        <f t="shared" si="2"/>
        <v>100</v>
      </c>
      <c r="X13" s="1460"/>
      <c r="Y13" s="3681"/>
      <c r="Z13" s="1096">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737"/>
      <c r="Q14" s="1097">
        <f t="shared" si="6"/>
        <v>111</v>
      </c>
      <c r="R14" s="1458" t="s">
        <v>8</v>
      </c>
      <c r="S14" s="1459">
        <f t="shared" si="0"/>
        <v>100</v>
      </c>
      <c r="T14" s="1458" t="s">
        <v>8</v>
      </c>
      <c r="U14" s="1459">
        <f t="shared" si="1"/>
        <v>100</v>
      </c>
      <c r="V14" s="1458" t="s">
        <v>8</v>
      </c>
      <c r="W14" s="1459">
        <f t="shared" si="2"/>
        <v>100</v>
      </c>
      <c r="X14" s="1460"/>
      <c r="Y14" s="3681"/>
      <c r="Z14" s="1096">
        <f t="shared" si="7"/>
        <v>111</v>
      </c>
      <c r="AA14" s="1461">
        <f t="shared" si="3"/>
        <v>1</v>
      </c>
      <c r="AB14" s="1461">
        <f t="shared" si="4"/>
        <v>1</v>
      </c>
      <c r="AC14" s="1461">
        <f t="shared" si="5"/>
        <v>1</v>
      </c>
    </row>
    <row r="15" spans="1:29" ht="71.25">
      <c r="A15" s="2549"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770" t="s">
        <v>523</v>
      </c>
      <c r="Q15" s="1462" t="str">
        <f t="shared" si="6"/>
        <v>商业繁华度</v>
      </c>
      <c r="R15" s="1463" t="s">
        <v>8</v>
      </c>
      <c r="S15" s="1464">
        <f t="shared" si="0"/>
        <v>100</v>
      </c>
      <c r="T15" s="1463" t="s">
        <v>8</v>
      </c>
      <c r="U15" s="1464">
        <f t="shared" si="1"/>
        <v>100</v>
      </c>
      <c r="V15" s="1463" t="s">
        <v>8</v>
      </c>
      <c r="W15" s="1464">
        <f t="shared" si="2"/>
        <v>100</v>
      </c>
      <c r="X15" s="1457"/>
      <c r="Y15" s="3770"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71"/>
      <c r="Q16" s="1462"/>
      <c r="R16" s="1463"/>
      <c r="S16" s="1464"/>
      <c r="T16" s="1463"/>
      <c r="U16" s="1464"/>
      <c r="V16" s="1463"/>
      <c r="W16" s="1464"/>
      <c r="X16" s="1457"/>
      <c r="Y16" s="3771"/>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771"/>
      <c r="Q17" s="1462" t="str">
        <f>B17</f>
        <v>交通便捷度</v>
      </c>
      <c r="R17" s="1463" t="s">
        <v>8</v>
      </c>
      <c r="S17" s="1464">
        <f>F17</f>
        <v>100</v>
      </c>
      <c r="T17" s="1463" t="s">
        <v>8</v>
      </c>
      <c r="U17" s="1464">
        <f>H17</f>
        <v>100</v>
      </c>
      <c r="V17" s="1463" t="s">
        <v>8</v>
      </c>
      <c r="W17" s="1464">
        <f>J17</f>
        <v>100</v>
      </c>
      <c r="X17" s="1457"/>
      <c r="Y17" s="3771"/>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71"/>
      <c r="Q18" s="1462"/>
      <c r="R18" s="1463"/>
      <c r="S18" s="1464"/>
      <c r="T18" s="1463"/>
      <c r="U18" s="1464"/>
      <c r="V18" s="1463"/>
      <c r="W18" s="1464"/>
      <c r="X18" s="1457"/>
      <c r="Y18" s="3771"/>
      <c r="Z18" s="1465"/>
      <c r="AA18" s="1466">
        <v>1</v>
      </c>
      <c r="AB18" s="1466">
        <v>1</v>
      </c>
      <c r="AC18" s="1466">
        <v>1</v>
      </c>
    </row>
    <row r="19" spans="1:29" ht="42.75">
      <c r="A19" s="509"/>
      <c r="B19" s="2366"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771"/>
      <c r="Q19" s="1462" t="str">
        <f>B19</f>
        <v>公共配套设施</v>
      </c>
      <c r="R19" s="1463" t="s">
        <v>8</v>
      </c>
      <c r="S19" s="1464">
        <f>F19</f>
        <v>100</v>
      </c>
      <c r="T19" s="1463" t="s">
        <v>8</v>
      </c>
      <c r="U19" s="1464">
        <f>H19</f>
        <v>100</v>
      </c>
      <c r="V19" s="1463" t="s">
        <v>8</v>
      </c>
      <c r="W19" s="1464">
        <f>J19</f>
        <v>100</v>
      </c>
      <c r="X19" s="1457"/>
      <c r="Y19" s="3771"/>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771"/>
      <c r="Q20" s="1462"/>
      <c r="R20" s="1463"/>
      <c r="S20" s="1464"/>
      <c r="T20" s="1463"/>
      <c r="U20" s="1464"/>
      <c r="V20" s="1463"/>
      <c r="W20" s="1464"/>
      <c r="X20" s="1457"/>
      <c r="Y20" s="3771"/>
      <c r="Z20" s="1465"/>
      <c r="AA20" s="1466">
        <v>1</v>
      </c>
      <c r="AB20" s="1466">
        <v>1</v>
      </c>
      <c r="AC20" s="1466">
        <v>1</v>
      </c>
    </row>
    <row r="21" spans="1:29" ht="28.5">
      <c r="A21" s="509"/>
      <c r="B21" s="2359"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771"/>
      <c r="Q21" s="2351" t="str">
        <f>B21</f>
        <v>基础设施水平</v>
      </c>
      <c r="R21" s="1463" t="s">
        <v>8</v>
      </c>
      <c r="S21" s="1464">
        <f>F21</f>
        <v>100</v>
      </c>
      <c r="T21" s="1463" t="s">
        <v>8</v>
      </c>
      <c r="U21" s="1464">
        <f>H21</f>
        <v>100</v>
      </c>
      <c r="V21" s="1463" t="s">
        <v>8</v>
      </c>
      <c r="W21" s="1464">
        <f>J21</f>
        <v>100</v>
      </c>
      <c r="X21" s="2353"/>
      <c r="Y21" s="3771"/>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771"/>
      <c r="Q22" s="2351"/>
      <c r="R22" s="1463"/>
      <c r="S22" s="1464"/>
      <c r="T22" s="1463"/>
      <c r="U22" s="1464"/>
      <c r="V22" s="1463"/>
      <c r="W22" s="1464"/>
      <c r="X22" s="2353"/>
      <c r="Y22" s="3771"/>
      <c r="Z22" s="2352"/>
      <c r="AA22" s="1466">
        <v>1</v>
      </c>
      <c r="AB22" s="1466">
        <v>1</v>
      </c>
      <c r="AC22" s="1466">
        <v>1</v>
      </c>
    </row>
    <row r="23" spans="1:29" ht="57">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771"/>
      <c r="Q23" s="1462" t="str">
        <f>B23</f>
        <v>自然及人文环境</v>
      </c>
      <c r="R23" s="1463" t="s">
        <v>8</v>
      </c>
      <c r="S23" s="1464">
        <f>F23</f>
        <v>100</v>
      </c>
      <c r="T23" s="1463" t="s">
        <v>8</v>
      </c>
      <c r="U23" s="1464">
        <f>H23</f>
        <v>100</v>
      </c>
      <c r="V23" s="1463" t="s">
        <v>8</v>
      </c>
      <c r="W23" s="1464">
        <f>J23</f>
        <v>100</v>
      </c>
      <c r="X23" s="1457"/>
      <c r="Y23" s="3771"/>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771"/>
      <c r="Q24" s="1462"/>
      <c r="R24" s="1463"/>
      <c r="S24" s="1464"/>
      <c r="T24" s="1463"/>
      <c r="U24" s="1464"/>
      <c r="V24" s="1463"/>
      <c r="W24" s="1464"/>
      <c r="X24" s="1457"/>
      <c r="Y24" s="3771"/>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771"/>
      <c r="Q25" s="1462" t="str">
        <f t="shared" ref="Q25:Q46" si="11">B25</f>
        <v>临街状况</v>
      </c>
      <c r="R25" s="1463" t="s">
        <v>8</v>
      </c>
      <c r="S25" s="1464">
        <f>F25</f>
        <v>100</v>
      </c>
      <c r="T25" s="1463" t="s">
        <v>8</v>
      </c>
      <c r="U25" s="1464">
        <f>H25</f>
        <v>100</v>
      </c>
      <c r="V25" s="1463" t="s">
        <v>8</v>
      </c>
      <c r="W25" s="1464">
        <f>J25</f>
        <v>100</v>
      </c>
      <c r="X25" s="1457"/>
      <c r="Y25" s="3771"/>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771"/>
      <c r="Q26" s="1462" t="str">
        <f t="shared" si="11"/>
        <v>平面位置/可视性</v>
      </c>
      <c r="R26" s="1463" t="s">
        <v>8</v>
      </c>
      <c r="S26" s="1464">
        <f>F26</f>
        <v>100</v>
      </c>
      <c r="T26" s="1463" t="s">
        <v>8</v>
      </c>
      <c r="U26" s="1464">
        <f>H26</f>
        <v>100</v>
      </c>
      <c r="V26" s="1463" t="s">
        <v>8</v>
      </c>
      <c r="W26" s="1464">
        <f>J26</f>
        <v>100</v>
      </c>
      <c r="X26" s="1457"/>
      <c r="Y26" s="3771"/>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771"/>
      <c r="Q27" s="1097" t="str">
        <f t="shared" si="11"/>
        <v>人流量</v>
      </c>
      <c r="R27" s="1458" t="s">
        <v>8</v>
      </c>
      <c r="S27" s="1459">
        <f>F27</f>
        <v>100</v>
      </c>
      <c r="T27" s="1458" t="s">
        <v>8</v>
      </c>
      <c r="U27" s="1459">
        <f>H27</f>
        <v>100</v>
      </c>
      <c r="V27" s="1458" t="s">
        <v>8</v>
      </c>
      <c r="W27" s="1459">
        <f>J27</f>
        <v>100</v>
      </c>
      <c r="X27" s="1460"/>
      <c r="Y27" s="3771"/>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771"/>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771"/>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771"/>
      <c r="Q29" s="1462">
        <f t="shared" si="11"/>
        <v>111</v>
      </c>
      <c r="R29" s="1463" t="s">
        <v>8</v>
      </c>
      <c r="S29" s="1464">
        <f t="shared" si="12"/>
        <v>100</v>
      </c>
      <c r="T29" s="1463" t="s">
        <v>8</v>
      </c>
      <c r="U29" s="1464">
        <f t="shared" si="13"/>
        <v>100</v>
      </c>
      <c r="V29" s="1463" t="s">
        <v>8</v>
      </c>
      <c r="W29" s="1464">
        <f t="shared" si="14"/>
        <v>100</v>
      </c>
      <c r="X29" s="1457"/>
      <c r="Y29" s="3771"/>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771"/>
      <c r="Q30" s="1462">
        <f t="shared" si="11"/>
        <v>111</v>
      </c>
      <c r="R30" s="1463" t="s">
        <v>8</v>
      </c>
      <c r="S30" s="1464">
        <f t="shared" si="12"/>
        <v>100</v>
      </c>
      <c r="T30" s="1463" t="s">
        <v>8</v>
      </c>
      <c r="U30" s="1464">
        <f t="shared" si="13"/>
        <v>100</v>
      </c>
      <c r="V30" s="1463" t="s">
        <v>8</v>
      </c>
      <c r="W30" s="1464">
        <f t="shared" si="14"/>
        <v>100</v>
      </c>
      <c r="X30" s="1457"/>
      <c r="Y30" s="3771"/>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771"/>
      <c r="Q31" s="1462">
        <f t="shared" si="11"/>
        <v>111</v>
      </c>
      <c r="R31" s="1463" t="s">
        <v>8</v>
      </c>
      <c r="S31" s="1464">
        <f t="shared" si="12"/>
        <v>100</v>
      </c>
      <c r="T31" s="1463" t="s">
        <v>8</v>
      </c>
      <c r="U31" s="1464">
        <f t="shared" si="13"/>
        <v>100</v>
      </c>
      <c r="V31" s="1463" t="s">
        <v>8</v>
      </c>
      <c r="W31" s="1464">
        <f t="shared" si="14"/>
        <v>100</v>
      </c>
      <c r="X31" s="1457"/>
      <c r="Y31" s="3771"/>
      <c r="Z31" s="1465">
        <f t="shared" si="15"/>
        <v>111</v>
      </c>
      <c r="AA31" s="1466">
        <f t="shared" si="3"/>
        <v>1</v>
      </c>
      <c r="AB31" s="1466">
        <f t="shared" si="4"/>
        <v>1</v>
      </c>
      <c r="AC31" s="1466">
        <f t="shared" si="5"/>
        <v>1</v>
      </c>
    </row>
    <row r="32" spans="1:29" ht="15">
      <c r="A32" s="2546" t="s">
        <v>2471</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772" t="s">
        <v>533</v>
      </c>
      <c r="Q32" s="1462" t="str">
        <f t="shared" si="11"/>
        <v>商业类型</v>
      </c>
      <c r="R32" s="1463" t="s">
        <v>8</v>
      </c>
      <c r="S32" s="1464">
        <f t="shared" si="12"/>
        <v>100</v>
      </c>
      <c r="T32" s="1463" t="s">
        <v>8</v>
      </c>
      <c r="U32" s="1464">
        <f t="shared" si="13"/>
        <v>100</v>
      </c>
      <c r="V32" s="1463" t="s">
        <v>8</v>
      </c>
      <c r="W32" s="1464">
        <f t="shared" si="14"/>
        <v>100</v>
      </c>
      <c r="X32" s="1457"/>
      <c r="Y32" s="3773"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773"/>
      <c r="Q33" s="1491" t="str">
        <f t="shared" si="11"/>
        <v>项目建筑规模</v>
      </c>
      <c r="R33" s="1467" t="s">
        <v>8</v>
      </c>
      <c r="S33" s="1468" t="e">
        <f t="shared" si="12"/>
        <v>#N/A</v>
      </c>
      <c r="T33" s="1467" t="s">
        <v>8</v>
      </c>
      <c r="U33" s="1468" t="e">
        <f t="shared" si="13"/>
        <v>#N/A</v>
      </c>
      <c r="V33" s="1467" t="s">
        <v>8</v>
      </c>
      <c r="W33" s="1468" t="e">
        <f t="shared" si="14"/>
        <v>#N/A</v>
      </c>
      <c r="X33" s="1469"/>
      <c r="Y33" s="3773"/>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773"/>
      <c r="Q34" s="1462" t="str">
        <f t="shared" si="11"/>
        <v>建筑结构</v>
      </c>
      <c r="R34" s="1463" t="s">
        <v>8</v>
      </c>
      <c r="S34" s="1464">
        <f t="shared" si="12"/>
        <v>100</v>
      </c>
      <c r="T34" s="1463" t="s">
        <v>8</v>
      </c>
      <c r="U34" s="1464">
        <f t="shared" si="13"/>
        <v>100</v>
      </c>
      <c r="V34" s="1463" t="s">
        <v>8</v>
      </c>
      <c r="W34" s="1464">
        <f t="shared" si="14"/>
        <v>100</v>
      </c>
      <c r="X34" s="1457"/>
      <c r="Y34" s="3773"/>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773"/>
      <c r="Q35" s="1462" t="str">
        <f t="shared" si="11"/>
        <v>公共部分装修</v>
      </c>
      <c r="R35" s="1463" t="s">
        <v>8</v>
      </c>
      <c r="S35" s="1464">
        <f t="shared" si="12"/>
        <v>100</v>
      </c>
      <c r="T35" s="1463" t="s">
        <v>8</v>
      </c>
      <c r="U35" s="1464">
        <f t="shared" si="13"/>
        <v>100</v>
      </c>
      <c r="V35" s="1463" t="s">
        <v>8</v>
      </c>
      <c r="W35" s="1464">
        <f t="shared" si="14"/>
        <v>100</v>
      </c>
      <c r="X35" s="1457"/>
      <c r="Y35" s="3773"/>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773"/>
      <c r="Q36" s="1462" t="str">
        <f t="shared" si="11"/>
        <v>成新度</v>
      </c>
      <c r="R36" s="1463" t="s">
        <v>8</v>
      </c>
      <c r="S36" s="1464" t="e">
        <f t="shared" si="12"/>
        <v>#N/A</v>
      </c>
      <c r="T36" s="1463" t="s">
        <v>8</v>
      </c>
      <c r="U36" s="1464" t="e">
        <f t="shared" si="13"/>
        <v>#N/A</v>
      </c>
      <c r="V36" s="1463" t="s">
        <v>8</v>
      </c>
      <c r="W36" s="1464" t="e">
        <f t="shared" si="14"/>
        <v>#N/A</v>
      </c>
      <c r="X36" s="1457"/>
      <c r="Y36" s="3773"/>
      <c r="Z36" s="1465" t="str">
        <f t="shared" si="15"/>
        <v>成新度</v>
      </c>
      <c r="AA36" s="1466" t="e">
        <f t="shared" si="3"/>
        <v>#N/A</v>
      </c>
      <c r="AB36" s="1466" t="e">
        <f t="shared" si="4"/>
        <v>#N/A</v>
      </c>
      <c r="AC36" s="1466" t="e">
        <f t="shared" si="5"/>
        <v>#N/A</v>
      </c>
    </row>
    <row r="37" spans="1:29" s="1166" customFormat="1" ht="15">
      <c r="A37" s="577"/>
      <c r="B37" s="1764"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773"/>
      <c r="Q37" s="1097" t="str">
        <f t="shared" si="11"/>
        <v>市政基础设施</v>
      </c>
      <c r="R37" s="1458" t="s">
        <v>8</v>
      </c>
      <c r="S37" s="1459">
        <f t="shared" si="12"/>
        <v>100</v>
      </c>
      <c r="T37" s="1458" t="s">
        <v>8</v>
      </c>
      <c r="U37" s="1459">
        <f t="shared" si="13"/>
        <v>100</v>
      </c>
      <c r="V37" s="1458" t="s">
        <v>8</v>
      </c>
      <c r="W37" s="1459">
        <f t="shared" si="14"/>
        <v>100</v>
      </c>
      <c r="X37" s="1460"/>
      <c r="Y37" s="3773"/>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773" t="s">
        <v>748</v>
      </c>
      <c r="Q38" s="1462" t="str">
        <f t="shared" si="11"/>
        <v>业态</v>
      </c>
      <c r="R38" s="1463" t="s">
        <v>8</v>
      </c>
      <c r="S38" s="1464">
        <f t="shared" si="12"/>
        <v>100</v>
      </c>
      <c r="T38" s="1463" t="s">
        <v>8</v>
      </c>
      <c r="U38" s="1464">
        <f t="shared" si="13"/>
        <v>100</v>
      </c>
      <c r="V38" s="1463" t="s">
        <v>8</v>
      </c>
      <c r="W38" s="1464">
        <f t="shared" si="14"/>
        <v>100</v>
      </c>
      <c r="X38" s="1457"/>
      <c r="Y38" s="3773"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773"/>
      <c r="Q39" s="1462" t="str">
        <f t="shared" si="11"/>
        <v>层高</v>
      </c>
      <c r="R39" s="1463" t="s">
        <v>8</v>
      </c>
      <c r="S39" s="1464">
        <f t="shared" si="12"/>
        <v>100</v>
      </c>
      <c r="T39" s="1463" t="s">
        <v>8</v>
      </c>
      <c r="U39" s="1464">
        <f t="shared" si="13"/>
        <v>100</v>
      </c>
      <c r="V39" s="1463" t="s">
        <v>8</v>
      </c>
      <c r="W39" s="1464">
        <f t="shared" si="14"/>
        <v>100</v>
      </c>
      <c r="X39" s="1457"/>
      <c r="Y39" s="3773"/>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773"/>
      <c r="Q40" s="1462" t="str">
        <f t="shared" si="11"/>
        <v>单套建筑面积</v>
      </c>
      <c r="R40" s="1463" t="s">
        <v>8</v>
      </c>
      <c r="S40" s="1464">
        <f t="shared" si="12"/>
        <v>100</v>
      </c>
      <c r="T40" s="1463" t="s">
        <v>8</v>
      </c>
      <c r="U40" s="1464">
        <f t="shared" si="13"/>
        <v>100</v>
      </c>
      <c r="V40" s="1463" t="s">
        <v>8</v>
      </c>
      <c r="W40" s="1464">
        <f t="shared" si="14"/>
        <v>100</v>
      </c>
      <c r="X40" s="1457"/>
      <c r="Y40" s="3773"/>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773"/>
      <c r="Q41" s="1491" t="str">
        <f t="shared" si="11"/>
        <v>进深比</v>
      </c>
      <c r="R41" s="1467" t="s">
        <v>8</v>
      </c>
      <c r="S41" s="1468">
        <f t="shared" si="12"/>
        <v>100</v>
      </c>
      <c r="T41" s="1467" t="s">
        <v>8</v>
      </c>
      <c r="U41" s="1468">
        <f t="shared" si="13"/>
        <v>100</v>
      </c>
      <c r="V41" s="1467" t="s">
        <v>8</v>
      </c>
      <c r="W41" s="1468">
        <f t="shared" si="14"/>
        <v>100</v>
      </c>
      <c r="X41" s="1469"/>
      <c r="Y41" s="3773"/>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773"/>
      <c r="Q42" s="1462" t="str">
        <f t="shared" si="11"/>
        <v>内部装修</v>
      </c>
      <c r="R42" s="1463" t="s">
        <v>8</v>
      </c>
      <c r="S42" s="1464">
        <f t="shared" si="12"/>
        <v>100</v>
      </c>
      <c r="T42" s="1463" t="s">
        <v>8</v>
      </c>
      <c r="U42" s="1464">
        <f t="shared" si="13"/>
        <v>100</v>
      </c>
      <c r="V42" s="1463" t="s">
        <v>8</v>
      </c>
      <c r="W42" s="1464">
        <f t="shared" si="14"/>
        <v>100</v>
      </c>
      <c r="X42" s="1457"/>
      <c r="Y42" s="3773"/>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773"/>
      <c r="Q43" s="1462" t="str">
        <f t="shared" si="11"/>
        <v>内部装修维护情况</v>
      </c>
      <c r="R43" s="1463" t="s">
        <v>8</v>
      </c>
      <c r="S43" s="1464">
        <f t="shared" si="12"/>
        <v>100</v>
      </c>
      <c r="T43" s="1463" t="s">
        <v>8</v>
      </c>
      <c r="U43" s="1464">
        <f t="shared" si="13"/>
        <v>100</v>
      </c>
      <c r="V43" s="1463" t="s">
        <v>8</v>
      </c>
      <c r="W43" s="1464">
        <f t="shared" si="14"/>
        <v>100</v>
      </c>
      <c r="X43" s="1457"/>
      <c r="Y43" s="3773"/>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773"/>
      <c r="Q44" s="1097">
        <f t="shared" si="11"/>
        <v>111</v>
      </c>
      <c r="R44" s="1458" t="s">
        <v>8</v>
      </c>
      <c r="S44" s="1459">
        <f t="shared" si="12"/>
        <v>100</v>
      </c>
      <c r="T44" s="1458" t="s">
        <v>8</v>
      </c>
      <c r="U44" s="1459">
        <f t="shared" si="13"/>
        <v>100</v>
      </c>
      <c r="V44" s="1458" t="s">
        <v>8</v>
      </c>
      <c r="W44" s="1459">
        <f t="shared" si="14"/>
        <v>100</v>
      </c>
      <c r="X44" s="1460"/>
      <c r="Y44" s="3773"/>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773"/>
      <c r="Q45" s="1462">
        <f t="shared" si="11"/>
        <v>111</v>
      </c>
      <c r="R45" s="1463" t="s">
        <v>8</v>
      </c>
      <c r="S45" s="1464">
        <f t="shared" si="12"/>
        <v>100</v>
      </c>
      <c r="T45" s="1463" t="s">
        <v>8</v>
      </c>
      <c r="U45" s="1464">
        <f t="shared" si="13"/>
        <v>100</v>
      </c>
      <c r="V45" s="1463" t="s">
        <v>8</v>
      </c>
      <c r="W45" s="1464">
        <f t="shared" si="14"/>
        <v>100</v>
      </c>
      <c r="X45" s="1457"/>
      <c r="Y45" s="3773"/>
      <c r="Z45" s="1465">
        <f t="shared" si="15"/>
        <v>111</v>
      </c>
      <c r="AA45" s="1466">
        <f t="shared" si="3"/>
        <v>1</v>
      </c>
      <c r="AB45" s="1466">
        <f t="shared" si="4"/>
        <v>1</v>
      </c>
      <c r="AC45" s="1466">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866"/>
      <c r="Q46" s="1462">
        <f t="shared" si="11"/>
        <v>111</v>
      </c>
      <c r="R46" s="1463" t="s">
        <v>8</v>
      </c>
      <c r="S46" s="1464">
        <f t="shared" si="12"/>
        <v>100</v>
      </c>
      <c r="T46" s="1463" t="s">
        <v>8</v>
      </c>
      <c r="U46" s="1464">
        <f t="shared" si="13"/>
        <v>100</v>
      </c>
      <c r="V46" s="1463" t="s">
        <v>8</v>
      </c>
      <c r="W46" s="1464">
        <f t="shared" si="14"/>
        <v>100</v>
      </c>
      <c r="X46" s="1457"/>
      <c r="Y46" s="3866"/>
      <c r="Z46" s="1465">
        <f t="shared" si="15"/>
        <v>111</v>
      </c>
      <c r="AA46" s="1466">
        <f t="shared" si="3"/>
        <v>1</v>
      </c>
      <c r="AB46" s="1466">
        <f t="shared" si="4"/>
        <v>1</v>
      </c>
      <c r="AC46" s="1466">
        <f t="shared" si="5"/>
        <v>1</v>
      </c>
    </row>
    <row r="47" spans="1:29" ht="15">
      <c r="A47" s="584" t="s">
        <v>718</v>
      </c>
      <c r="B47" s="858"/>
      <c r="C47" s="2392" t="s">
        <v>1</v>
      </c>
      <c r="D47" s="2393"/>
      <c r="E47" s="2394"/>
      <c r="F47" s="2395"/>
      <c r="G47" s="2396"/>
      <c r="H47" s="2397"/>
      <c r="I47" s="2394"/>
      <c r="J47" s="2397"/>
      <c r="K47" s="1496"/>
      <c r="L47" s="1980"/>
      <c r="M47" s="1981"/>
      <c r="N47" s="1970"/>
      <c r="O47" s="1981"/>
      <c r="P47" s="3737" t="str">
        <f>A47</f>
        <v>成交单价（元/平方米）</v>
      </c>
      <c r="Q47" s="3737"/>
      <c r="R47" s="3865">
        <f>E47</f>
        <v>0</v>
      </c>
      <c r="S47" s="3865"/>
      <c r="T47" s="3865">
        <f>G47</f>
        <v>0</v>
      </c>
      <c r="U47" s="3865"/>
      <c r="V47" s="3865">
        <f>I47</f>
        <v>0</v>
      </c>
      <c r="W47" s="3865"/>
      <c r="X47" s="1452"/>
      <c r="Y47" s="1471"/>
      <c r="Z47" s="1452"/>
      <c r="AA47" s="1452"/>
      <c r="AB47" s="1452"/>
      <c r="AC47" s="1452"/>
    </row>
    <row r="48" spans="1:29" ht="15.75" thickBot="1">
      <c r="A48" s="592" t="s">
        <v>2476</v>
      </c>
      <c r="B48" s="859"/>
      <c r="C48" s="2398" t="e">
        <f>R49</f>
        <v>#DIV/0!</v>
      </c>
      <c r="D48" s="2922" t="s">
        <v>2700</v>
      </c>
      <c r="E48" s="2399" t="e">
        <f>R48</f>
        <v>#DIV/0!</v>
      </c>
      <c r="F48" s="2923"/>
      <c r="G48" s="2398" t="e">
        <f>T48</f>
        <v>#DIV/0!</v>
      </c>
      <c r="H48" s="2923"/>
      <c r="I48" s="2399" t="e">
        <f>V48</f>
        <v>#DIV/0!</v>
      </c>
      <c r="J48" s="2923"/>
      <c r="K48" s="2931">
        <f>F48+H48+J48</f>
        <v>0</v>
      </c>
      <c r="L48" s="1980"/>
      <c r="M48" s="1981"/>
      <c r="N48" s="1970"/>
      <c r="O48" s="1981"/>
      <c r="P48" s="3737" t="str">
        <f>A48</f>
        <v>比较价格（元/平方米）</v>
      </c>
      <c r="Q48" s="3737"/>
      <c r="R48" s="3865" t="e">
        <f>IF(F1="售价",ROUND(PRODUCT(R47,AA7:AA46),0),ROUND(PRODUCT(R47,AA7:AA46),1))</f>
        <v>#DIV/0!</v>
      </c>
      <c r="S48" s="3865"/>
      <c r="T48" s="3865" t="e">
        <f>IF(F1="售价",ROUND(PRODUCT(T47,AB7:AB46),0),ROUND(PRODUCT(T47,AB7:AB46),1))</f>
        <v>#DIV/0!</v>
      </c>
      <c r="U48" s="3865"/>
      <c r="V48" s="3865" t="e">
        <f>IF(F1="售价",ROUND(PRODUCT(V47,AC7:AC46),0),ROUND(PRODUCT(V47,AC7:AC46),1))</f>
        <v>#DIV/0!</v>
      </c>
      <c r="W48" s="3865"/>
      <c r="X48" s="1452"/>
      <c r="Y48" s="1452"/>
      <c r="Z48" s="1452"/>
      <c r="AA48" s="1452"/>
      <c r="AB48" s="1452"/>
      <c r="AC48" s="1452"/>
    </row>
    <row r="49" spans="1:29" ht="15.75" thickBot="1">
      <c r="A49" s="596" t="s">
        <v>2635</v>
      </c>
      <c r="B49" s="597"/>
      <c r="C49" s="2400" t="e">
        <f>R49</f>
        <v>#DIV/0!</v>
      </c>
      <c r="D49" s="2400"/>
      <c r="E49" s="2400"/>
      <c r="F49" s="2400"/>
      <c r="G49" s="2400"/>
      <c r="H49" s="2400"/>
      <c r="I49" s="2400"/>
      <c r="J49" s="2400"/>
      <c r="K49" s="1497"/>
      <c r="L49" s="1980"/>
      <c r="M49" s="1981"/>
      <c r="N49" s="1970"/>
      <c r="O49" s="1981"/>
      <c r="P49" s="3774" t="str">
        <f>A49</f>
        <v>估价对象XX用房的比较价格（楼面单价，元/平方米）</v>
      </c>
      <c r="Q49" s="3775"/>
      <c r="R49" s="3864" t="e">
        <f>IF(F1="售价",ROUND(IF(D48="简单平均",AVERAGE(R48:V48),R48*F48+T48*H48+V48*J48),0),ROUND(IF(D48="简单平均",AVERAGE(R48:V48),R48*F48+T48*H48+V48*J48),1))</f>
        <v>#DIV/0!</v>
      </c>
      <c r="S49" s="3864"/>
      <c r="T49" s="3864"/>
      <c r="U49" s="3864"/>
      <c r="V49" s="3864"/>
      <c r="W49" s="3864"/>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1"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2274</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2275</v>
      </c>
      <c r="C82" s="2364" t="s">
        <v>2276</v>
      </c>
      <c r="D82" s="2364" t="s">
        <v>2277</v>
      </c>
      <c r="E82" s="2364" t="s">
        <v>2278</v>
      </c>
      <c r="F82" s="2364" t="s">
        <v>2279</v>
      </c>
      <c r="G82" s="2364" t="s">
        <v>2280</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2273</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743" t="s">
        <v>505</v>
      </c>
      <c r="D4" s="3744"/>
      <c r="E4" s="3778" t="s">
        <v>506</v>
      </c>
      <c r="F4" s="3779"/>
      <c r="G4" s="3743" t="s">
        <v>507</v>
      </c>
      <c r="H4" s="3744"/>
      <c r="I4" s="3743" t="s">
        <v>508</v>
      </c>
      <c r="J4" s="3744"/>
      <c r="K4" s="491" t="s">
        <v>509</v>
      </c>
      <c r="L4" s="1969"/>
      <c r="M4" s="1970"/>
      <c r="N4" s="1970"/>
      <c r="O4" s="1970"/>
      <c r="P4" s="3870" t="s">
        <v>510</v>
      </c>
      <c r="Q4" s="3746"/>
      <c r="R4" s="3751" t="s">
        <v>506</v>
      </c>
      <c r="S4" s="3752"/>
      <c r="T4" s="3751" t="s">
        <v>507</v>
      </c>
      <c r="U4" s="3752"/>
      <c r="V4" s="3738" t="s">
        <v>508</v>
      </c>
      <c r="W4" s="3738"/>
      <c r="X4" s="1457"/>
      <c r="Y4" s="3751" t="s">
        <v>510</v>
      </c>
      <c r="Z4" s="3752"/>
      <c r="AA4" s="3740" t="s">
        <v>506</v>
      </c>
      <c r="AB4" s="3740" t="s">
        <v>507</v>
      </c>
      <c r="AC4" s="3740" t="s">
        <v>508</v>
      </c>
    </row>
    <row r="5" spans="1:29" ht="15">
      <c r="A5" s="492"/>
      <c r="B5" s="493"/>
      <c r="C5" s="3759" t="s">
        <v>2629</v>
      </c>
      <c r="D5" s="3760"/>
      <c r="E5" s="3780" t="s">
        <v>2630</v>
      </c>
      <c r="F5" s="3781"/>
      <c r="G5" s="3759" t="s">
        <v>2631</v>
      </c>
      <c r="H5" s="3760"/>
      <c r="I5" s="3759" t="s">
        <v>2632</v>
      </c>
      <c r="J5" s="3760"/>
      <c r="K5" s="491"/>
      <c r="L5" s="1969"/>
      <c r="M5" s="1970"/>
      <c r="N5" s="1970"/>
      <c r="O5" s="1970"/>
      <c r="P5" s="3871"/>
      <c r="Q5" s="3748"/>
      <c r="R5" s="3753"/>
      <c r="S5" s="3754"/>
      <c r="T5" s="3753"/>
      <c r="U5" s="3754"/>
      <c r="V5" s="3738"/>
      <c r="W5" s="3738"/>
      <c r="X5" s="1457"/>
      <c r="Y5" s="3753"/>
      <c r="Z5" s="3754"/>
      <c r="AA5" s="3741"/>
      <c r="AB5" s="3741"/>
      <c r="AC5" s="3741"/>
    </row>
    <row r="6" spans="1:29" ht="15.75" thickBot="1">
      <c r="A6" s="494"/>
      <c r="B6" s="495"/>
      <c r="C6" s="3757" t="s">
        <v>2633</v>
      </c>
      <c r="D6" s="3758"/>
      <c r="E6" s="3776" t="s">
        <v>2633</v>
      </c>
      <c r="F6" s="3777"/>
      <c r="G6" s="3757" t="s">
        <v>2633</v>
      </c>
      <c r="H6" s="3758"/>
      <c r="I6" s="3757" t="s">
        <v>2633</v>
      </c>
      <c r="J6" s="3758"/>
      <c r="K6" s="491" t="s">
        <v>511</v>
      </c>
      <c r="L6" s="1969"/>
      <c r="M6" s="1970"/>
      <c r="N6" s="1970"/>
      <c r="O6" s="1970"/>
      <c r="P6" s="3872"/>
      <c r="Q6" s="3750"/>
      <c r="R6" s="3753"/>
      <c r="S6" s="3754"/>
      <c r="T6" s="3755"/>
      <c r="U6" s="3756"/>
      <c r="V6" s="3738"/>
      <c r="W6" s="3738"/>
      <c r="X6" s="1457"/>
      <c r="Y6" s="3755"/>
      <c r="Z6" s="3756"/>
      <c r="AA6" s="3742"/>
      <c r="AB6" s="3742"/>
      <c r="AC6" s="3742"/>
    </row>
    <row r="7" spans="1:29" s="1166" customFormat="1" ht="15.75" thickBot="1">
      <c r="A7" s="2551"/>
      <c r="B7" s="2558" t="s">
        <v>512</v>
      </c>
      <c r="C7" s="496">
        <f>'数据-取费表'!B2</f>
        <v>44747</v>
      </c>
      <c r="D7" s="497">
        <v>100</v>
      </c>
      <c r="E7" s="498"/>
      <c r="F7" s="499">
        <f>SUMIF(59:59,YEAR(E7)&amp;"-"&amp;MONTH(E7),60:60)</f>
        <v>0</v>
      </c>
      <c r="G7" s="498"/>
      <c r="H7" s="497">
        <f>SUMIF(59:59,YEAR(G7)&amp;"-"&amp;MONTH(G7),60:60)</f>
        <v>0</v>
      </c>
      <c r="I7" s="498"/>
      <c r="J7" s="497">
        <f>SUMIF(59:59,YEAR(I7)&amp;"-"&amp;MONTH(I7),60:60)</f>
        <v>0</v>
      </c>
      <c r="K7" s="501"/>
      <c r="L7" s="1971"/>
      <c r="M7" s="1972"/>
      <c r="N7" s="1972"/>
      <c r="O7" s="1972"/>
      <c r="P7" s="3769" t="s">
        <v>513</v>
      </c>
      <c r="Q7" s="3769"/>
      <c r="R7" s="1458" t="s">
        <v>8</v>
      </c>
      <c r="S7" s="1459">
        <f t="shared" ref="S7:S15" si="0">F7</f>
        <v>0</v>
      </c>
      <c r="T7" s="1458" t="s">
        <v>8</v>
      </c>
      <c r="U7" s="1459">
        <f t="shared" ref="U7:U15" si="1">H7</f>
        <v>0</v>
      </c>
      <c r="V7" s="1458" t="s">
        <v>8</v>
      </c>
      <c r="W7" s="1459">
        <f t="shared" ref="W7:W15" si="2">J7</f>
        <v>0</v>
      </c>
      <c r="X7" s="1460"/>
      <c r="Y7" s="3767" t="s">
        <v>513</v>
      </c>
      <c r="Z7" s="3768"/>
      <c r="AA7" s="1461" t="e">
        <f>D7/F7</f>
        <v>#DIV/0!</v>
      </c>
      <c r="AB7" s="1461" t="e">
        <f>D7/H7</f>
        <v>#DIV/0!</v>
      </c>
      <c r="AC7" s="1461" t="e">
        <f>D7/J7</f>
        <v>#DIV/0!</v>
      </c>
    </row>
    <row r="8" spans="1:29" s="1166"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769" t="s">
        <v>516</v>
      </c>
      <c r="Q8" s="3768"/>
      <c r="R8" s="1458" t="s">
        <v>8</v>
      </c>
      <c r="S8" s="1459">
        <f t="shared" si="0"/>
        <v>0</v>
      </c>
      <c r="T8" s="1458" t="s">
        <v>8</v>
      </c>
      <c r="U8" s="1459">
        <f t="shared" si="1"/>
        <v>0</v>
      </c>
      <c r="V8" s="1458" t="s">
        <v>8</v>
      </c>
      <c r="W8" s="1459">
        <f t="shared" si="2"/>
        <v>0</v>
      </c>
      <c r="X8" s="1460"/>
      <c r="Y8" s="3767" t="s">
        <v>516</v>
      </c>
      <c r="Z8" s="3768"/>
      <c r="AA8" s="1461" t="e">
        <f t="shared" ref="AA8:AA47" si="3">D8/F8</f>
        <v>#DIV/0!</v>
      </c>
      <c r="AB8" s="1461" t="e">
        <f t="shared" ref="AB8:AB47" si="4">D8/H8</f>
        <v>#DIV/0!</v>
      </c>
      <c r="AC8" s="1461" t="e">
        <f t="shared" ref="AC8:AC47" si="5">D8/J8</f>
        <v>#DIV/0!</v>
      </c>
    </row>
    <row r="9" spans="1:29" s="1166" customFormat="1" ht="15">
      <c r="A9" s="2553"/>
      <c r="B9" s="2560" t="s">
        <v>2472</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737" t="s">
        <v>518</v>
      </c>
      <c r="Q9" s="1097" t="str">
        <f t="shared" ref="Q9:Q15" si="6">B9</f>
        <v>用途</v>
      </c>
      <c r="R9" s="1458" t="s">
        <v>8</v>
      </c>
      <c r="S9" s="1459">
        <f t="shared" si="0"/>
        <v>100</v>
      </c>
      <c r="T9" s="1458" t="s">
        <v>8</v>
      </c>
      <c r="U9" s="1459">
        <f t="shared" si="1"/>
        <v>100</v>
      </c>
      <c r="V9" s="1458" t="s">
        <v>8</v>
      </c>
      <c r="W9" s="1459">
        <f t="shared" si="2"/>
        <v>100</v>
      </c>
      <c r="X9" s="1460"/>
      <c r="Y9" s="3681"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737"/>
      <c r="Q11" s="1097" t="str">
        <f t="shared" si="6"/>
        <v>容积率</v>
      </c>
      <c r="R11" s="1458" t="s">
        <v>8</v>
      </c>
      <c r="S11" s="1459" t="e">
        <f t="shared" si="0"/>
        <v>#N/A</v>
      </c>
      <c r="T11" s="1458" t="s">
        <v>8</v>
      </c>
      <c r="U11" s="1459" t="e">
        <f t="shared" si="1"/>
        <v>#N/A</v>
      </c>
      <c r="V11" s="1458" t="s">
        <v>8</v>
      </c>
      <c r="W11" s="1459" t="e">
        <f t="shared" si="2"/>
        <v>#N/A</v>
      </c>
      <c r="X11" s="1460"/>
      <c r="Y11" s="3681"/>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737"/>
      <c r="Q12" s="1097">
        <f t="shared" si="6"/>
        <v>111</v>
      </c>
      <c r="R12" s="1458" t="s">
        <v>8</v>
      </c>
      <c r="S12" s="1459">
        <f t="shared" si="0"/>
        <v>100</v>
      </c>
      <c r="T12" s="1458" t="s">
        <v>8</v>
      </c>
      <c r="U12" s="1459">
        <f t="shared" si="1"/>
        <v>100</v>
      </c>
      <c r="V12" s="1458" t="s">
        <v>8</v>
      </c>
      <c r="W12" s="1459">
        <f t="shared" si="2"/>
        <v>100</v>
      </c>
      <c r="X12" s="1460"/>
      <c r="Y12" s="3681"/>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737"/>
      <c r="Q13" s="1097">
        <f t="shared" si="6"/>
        <v>111</v>
      </c>
      <c r="R13" s="1458" t="s">
        <v>8</v>
      </c>
      <c r="S13" s="1459">
        <f t="shared" si="0"/>
        <v>100</v>
      </c>
      <c r="T13" s="1458" t="s">
        <v>8</v>
      </c>
      <c r="U13" s="1459">
        <f t="shared" si="1"/>
        <v>100</v>
      </c>
      <c r="V13" s="1458" t="s">
        <v>8</v>
      </c>
      <c r="W13" s="1459">
        <f t="shared" si="2"/>
        <v>100</v>
      </c>
      <c r="X13" s="1460"/>
      <c r="Y13" s="3681"/>
      <c r="Z13" s="1096">
        <f t="shared" si="7"/>
        <v>111</v>
      </c>
      <c r="AA13" s="1461">
        <f t="shared" si="3"/>
        <v>1</v>
      </c>
      <c r="AB13" s="1461">
        <f t="shared" si="4"/>
        <v>1</v>
      </c>
      <c r="AC13" s="1461">
        <f t="shared" si="5"/>
        <v>1</v>
      </c>
    </row>
    <row r="14" spans="1:29" ht="15.75"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737"/>
      <c r="Q14" s="1097">
        <f t="shared" si="6"/>
        <v>111</v>
      </c>
      <c r="R14" s="1458" t="s">
        <v>8</v>
      </c>
      <c r="S14" s="1459">
        <f t="shared" si="0"/>
        <v>100</v>
      </c>
      <c r="T14" s="1458" t="s">
        <v>8</v>
      </c>
      <c r="U14" s="1459">
        <f t="shared" si="1"/>
        <v>100</v>
      </c>
      <c r="V14" s="1458" t="s">
        <v>8</v>
      </c>
      <c r="W14" s="1459">
        <f t="shared" si="2"/>
        <v>100</v>
      </c>
      <c r="X14" s="1460"/>
      <c r="Y14" s="3681"/>
      <c r="Z14" s="1096">
        <f t="shared" si="7"/>
        <v>111</v>
      </c>
      <c r="AA14" s="1461">
        <f t="shared" si="3"/>
        <v>1</v>
      </c>
      <c r="AB14" s="1461">
        <f t="shared" si="4"/>
        <v>1</v>
      </c>
      <c r="AC14" s="1461">
        <f t="shared" si="5"/>
        <v>1</v>
      </c>
    </row>
    <row r="15" spans="1:29" ht="71.25">
      <c r="A15" s="2549"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770" t="s">
        <v>523</v>
      </c>
      <c r="Q15" s="1462" t="str">
        <f t="shared" si="6"/>
        <v>办公集聚程度</v>
      </c>
      <c r="R15" s="1463" t="s">
        <v>8</v>
      </c>
      <c r="S15" s="1464">
        <f t="shared" si="0"/>
        <v>100</v>
      </c>
      <c r="T15" s="1463" t="s">
        <v>8</v>
      </c>
      <c r="U15" s="1464">
        <f t="shared" si="1"/>
        <v>100</v>
      </c>
      <c r="V15" s="1463" t="s">
        <v>8</v>
      </c>
      <c r="W15" s="1464">
        <f t="shared" si="2"/>
        <v>100</v>
      </c>
      <c r="X15" s="1457"/>
      <c r="Y15" s="3770"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771"/>
      <c r="Q16" s="1462"/>
      <c r="R16" s="1463"/>
      <c r="S16" s="1464"/>
      <c r="T16" s="1463"/>
      <c r="U16" s="1464"/>
      <c r="V16" s="1463"/>
      <c r="W16" s="1464"/>
      <c r="X16" s="1457"/>
      <c r="Y16" s="3771"/>
      <c r="Z16" s="1465"/>
      <c r="AA16" s="1466">
        <v>1</v>
      </c>
      <c r="AB16" s="1466">
        <v>1</v>
      </c>
      <c r="AC16" s="146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771"/>
      <c r="Q17" s="1462" t="str">
        <f>B17</f>
        <v>交通便捷度</v>
      </c>
      <c r="R17" s="1463" t="s">
        <v>8</v>
      </c>
      <c r="S17" s="1464">
        <f>F17</f>
        <v>100</v>
      </c>
      <c r="T17" s="1463" t="s">
        <v>8</v>
      </c>
      <c r="U17" s="1464">
        <f>H17</f>
        <v>100</v>
      </c>
      <c r="V17" s="1463" t="s">
        <v>8</v>
      </c>
      <c r="W17" s="1464">
        <f>J17</f>
        <v>100</v>
      </c>
      <c r="X17" s="1457"/>
      <c r="Y17" s="3771"/>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771"/>
      <c r="Q18" s="1462"/>
      <c r="R18" s="1463"/>
      <c r="S18" s="1464"/>
      <c r="T18" s="1463"/>
      <c r="U18" s="1464"/>
      <c r="V18" s="1463"/>
      <c r="W18" s="1464"/>
      <c r="X18" s="1457"/>
      <c r="Y18" s="3771"/>
      <c r="Z18" s="1465"/>
      <c r="AA18" s="1466">
        <v>1</v>
      </c>
      <c r="AB18" s="1466">
        <v>1</v>
      </c>
      <c r="AC18" s="1466">
        <v>1</v>
      </c>
    </row>
    <row r="19" spans="1:29" ht="42.75">
      <c r="A19" s="509"/>
      <c r="B19" s="2369"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771"/>
      <c r="Q19" s="1462" t="str">
        <f>B19</f>
        <v>公共配套设施</v>
      </c>
      <c r="R19" s="1463" t="s">
        <v>8</v>
      </c>
      <c r="S19" s="1464">
        <f>F19</f>
        <v>100</v>
      </c>
      <c r="T19" s="1463" t="s">
        <v>8</v>
      </c>
      <c r="U19" s="1464">
        <f>H19</f>
        <v>100</v>
      </c>
      <c r="V19" s="1463" t="s">
        <v>8</v>
      </c>
      <c r="W19" s="1464">
        <f>J19</f>
        <v>100</v>
      </c>
      <c r="X19" s="1457"/>
      <c r="Y19" s="3771"/>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771"/>
      <c r="Q20" s="1462"/>
      <c r="R20" s="1463"/>
      <c r="S20" s="1464"/>
      <c r="T20" s="1463"/>
      <c r="U20" s="1464"/>
      <c r="V20" s="1463"/>
      <c r="W20" s="1464"/>
      <c r="X20" s="1457"/>
      <c r="Y20" s="3771"/>
      <c r="Z20" s="1465"/>
      <c r="AA20" s="1466">
        <v>1</v>
      </c>
      <c r="AB20" s="1466">
        <v>1</v>
      </c>
      <c r="AC20" s="1466">
        <v>1</v>
      </c>
    </row>
    <row r="21" spans="1:29" ht="28.5">
      <c r="A21" s="509"/>
      <c r="B21" s="2357"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771"/>
      <c r="Q21" s="2351" t="str">
        <f>B21</f>
        <v>基础设施水平</v>
      </c>
      <c r="R21" s="1463" t="s">
        <v>8</v>
      </c>
      <c r="S21" s="1464">
        <f>F21</f>
        <v>100</v>
      </c>
      <c r="T21" s="1463" t="s">
        <v>8</v>
      </c>
      <c r="U21" s="1464">
        <f>H21</f>
        <v>100</v>
      </c>
      <c r="V21" s="1463" t="s">
        <v>8</v>
      </c>
      <c r="W21" s="1464">
        <f>J21</f>
        <v>100</v>
      </c>
      <c r="X21" s="2353"/>
      <c r="Y21" s="3771"/>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771"/>
      <c r="Q22" s="2351"/>
      <c r="R22" s="1463"/>
      <c r="S22" s="1464"/>
      <c r="T22" s="1463"/>
      <c r="U22" s="1464"/>
      <c r="V22" s="1463"/>
      <c r="W22" s="1464"/>
      <c r="X22" s="2353"/>
      <c r="Y22" s="3771"/>
      <c r="Z22" s="2352"/>
      <c r="AA22" s="1466">
        <v>1</v>
      </c>
      <c r="AB22" s="1466">
        <v>1</v>
      </c>
      <c r="AC22" s="1466">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771"/>
      <c r="Q23" s="1462" t="str">
        <f>B23</f>
        <v>环境质量</v>
      </c>
      <c r="R23" s="1463" t="s">
        <v>8</v>
      </c>
      <c r="S23" s="1464">
        <f>F23</f>
        <v>100</v>
      </c>
      <c r="T23" s="1463" t="s">
        <v>8</v>
      </c>
      <c r="U23" s="1464">
        <f>H23</f>
        <v>100</v>
      </c>
      <c r="V23" s="1463" t="s">
        <v>8</v>
      </c>
      <c r="W23" s="1464">
        <f>J23</f>
        <v>100</v>
      </c>
      <c r="X23" s="1457"/>
      <c r="Y23" s="3771"/>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771"/>
      <c r="Q24" s="1462"/>
      <c r="R24" s="1463"/>
      <c r="S24" s="1464"/>
      <c r="T24" s="1463"/>
      <c r="U24" s="1464"/>
      <c r="V24" s="1463"/>
      <c r="W24" s="1464"/>
      <c r="X24" s="1457"/>
      <c r="Y24" s="3771"/>
      <c r="Z24" s="1465"/>
      <c r="AA24" s="1466">
        <v>1</v>
      </c>
      <c r="AB24" s="1466">
        <v>1</v>
      </c>
      <c r="AC24" s="1466">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771"/>
      <c r="Q25" s="1462" t="str">
        <f>B25</f>
        <v>毗邻道路的类型与等级</v>
      </c>
      <c r="R25" s="1463" t="s">
        <v>8</v>
      </c>
      <c r="S25" s="1464">
        <f>F25</f>
        <v>100</v>
      </c>
      <c r="T25" s="1463" t="s">
        <v>8</v>
      </c>
      <c r="U25" s="1464">
        <f>H25</f>
        <v>100</v>
      </c>
      <c r="V25" s="1463" t="s">
        <v>8</v>
      </c>
      <c r="W25" s="1464">
        <f>J25</f>
        <v>100</v>
      </c>
      <c r="X25" s="1457"/>
      <c r="Y25" s="3771"/>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771"/>
      <c r="Q26" s="1462"/>
      <c r="R26" s="1463"/>
      <c r="S26" s="1464"/>
      <c r="T26" s="1463"/>
      <c r="U26" s="1464"/>
      <c r="V26" s="1463"/>
      <c r="W26" s="1464"/>
      <c r="X26" s="1457"/>
      <c r="Y26" s="3771"/>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771"/>
      <c r="Q27" s="1462" t="str">
        <f t="shared" ref="Q27:Q47" si="11">B27</f>
        <v>楼层</v>
      </c>
      <c r="R27" s="1463" t="s">
        <v>8</v>
      </c>
      <c r="S27" s="1464">
        <f>F27</f>
        <v>100</v>
      </c>
      <c r="T27" s="1463" t="s">
        <v>8</v>
      </c>
      <c r="U27" s="1464">
        <f>H27</f>
        <v>100</v>
      </c>
      <c r="V27" s="1463" t="s">
        <v>8</v>
      </c>
      <c r="W27" s="1464">
        <f>J27</f>
        <v>100</v>
      </c>
      <c r="X27" s="1457"/>
      <c r="Y27" s="3771"/>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771"/>
      <c r="Q28" s="1097" t="str">
        <f t="shared" si="11"/>
        <v>朝向</v>
      </c>
      <c r="R28" s="1458" t="s">
        <v>8</v>
      </c>
      <c r="S28" s="1459">
        <f>F28</f>
        <v>100</v>
      </c>
      <c r="T28" s="1458" t="s">
        <v>8</v>
      </c>
      <c r="U28" s="1459">
        <f>H28</f>
        <v>100</v>
      </c>
      <c r="V28" s="1458" t="s">
        <v>8</v>
      </c>
      <c r="W28" s="1459">
        <f>J28</f>
        <v>100</v>
      </c>
      <c r="X28" s="1460"/>
      <c r="Y28" s="3771"/>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771"/>
      <c r="Q29" s="1462">
        <f t="shared" si="11"/>
        <v>111</v>
      </c>
      <c r="R29" s="1463" t="s">
        <v>8</v>
      </c>
      <c r="S29" s="1464">
        <f t="shared" ref="S29:S47" si="12">F29</f>
        <v>100</v>
      </c>
      <c r="T29" s="1463" t="s">
        <v>8</v>
      </c>
      <c r="U29" s="1464">
        <f t="shared" ref="U29:U47" si="13">H29</f>
        <v>100</v>
      </c>
      <c r="V29" s="1463" t="s">
        <v>8</v>
      </c>
      <c r="W29" s="1464">
        <f t="shared" ref="W29:W47" si="14">J29</f>
        <v>100</v>
      </c>
      <c r="X29" s="1457"/>
      <c r="Y29" s="3771"/>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771"/>
      <c r="Q30" s="1462">
        <f t="shared" si="11"/>
        <v>111</v>
      </c>
      <c r="R30" s="1463" t="s">
        <v>8</v>
      </c>
      <c r="S30" s="1464">
        <f t="shared" si="12"/>
        <v>100</v>
      </c>
      <c r="T30" s="1463" t="s">
        <v>8</v>
      </c>
      <c r="U30" s="1464">
        <f t="shared" si="13"/>
        <v>100</v>
      </c>
      <c r="V30" s="1463" t="s">
        <v>8</v>
      </c>
      <c r="W30" s="1464">
        <f t="shared" si="14"/>
        <v>100</v>
      </c>
      <c r="X30" s="1457"/>
      <c r="Y30" s="3771"/>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771"/>
      <c r="Q31" s="1462">
        <f t="shared" si="11"/>
        <v>111</v>
      </c>
      <c r="R31" s="1463" t="s">
        <v>8</v>
      </c>
      <c r="S31" s="1464">
        <f t="shared" si="12"/>
        <v>100</v>
      </c>
      <c r="T31" s="1463" t="s">
        <v>8</v>
      </c>
      <c r="U31" s="1464">
        <f t="shared" si="13"/>
        <v>100</v>
      </c>
      <c r="V31" s="1463" t="s">
        <v>8</v>
      </c>
      <c r="W31" s="1464">
        <f t="shared" si="14"/>
        <v>100</v>
      </c>
      <c r="X31" s="1457"/>
      <c r="Y31" s="3771"/>
      <c r="Z31" s="1465">
        <f t="shared" si="15"/>
        <v>111</v>
      </c>
      <c r="AA31" s="1466">
        <f t="shared" si="3"/>
        <v>1</v>
      </c>
      <c r="AB31" s="1466">
        <f t="shared" si="4"/>
        <v>1</v>
      </c>
      <c r="AC31" s="1466">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771"/>
      <c r="Q32" s="1462">
        <f t="shared" si="11"/>
        <v>111</v>
      </c>
      <c r="R32" s="1463" t="s">
        <v>8</v>
      </c>
      <c r="S32" s="1464">
        <f t="shared" si="12"/>
        <v>100</v>
      </c>
      <c r="T32" s="1463" t="s">
        <v>8</v>
      </c>
      <c r="U32" s="1464">
        <f t="shared" si="13"/>
        <v>100</v>
      </c>
      <c r="V32" s="1463" t="s">
        <v>8</v>
      </c>
      <c r="W32" s="1464">
        <f t="shared" si="14"/>
        <v>100</v>
      </c>
      <c r="X32" s="1457"/>
      <c r="Y32" s="3771"/>
      <c r="Z32" s="1465">
        <f t="shared" si="15"/>
        <v>111</v>
      </c>
      <c r="AA32" s="1466">
        <f t="shared" si="3"/>
        <v>1</v>
      </c>
      <c r="AB32" s="1466">
        <f t="shared" si="4"/>
        <v>1</v>
      </c>
      <c r="AC32" s="1466">
        <f t="shared" si="5"/>
        <v>1</v>
      </c>
    </row>
    <row r="33" spans="1:29" ht="15">
      <c r="A33" s="2546" t="s">
        <v>2471</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772" t="s">
        <v>533</v>
      </c>
      <c r="Q33" s="1462" t="str">
        <f t="shared" si="11"/>
        <v>建筑类型</v>
      </c>
      <c r="R33" s="1463" t="s">
        <v>8</v>
      </c>
      <c r="S33" s="1464">
        <f t="shared" si="12"/>
        <v>100</v>
      </c>
      <c r="T33" s="1463" t="s">
        <v>8</v>
      </c>
      <c r="U33" s="1464">
        <f t="shared" si="13"/>
        <v>100</v>
      </c>
      <c r="V33" s="1463" t="s">
        <v>8</v>
      </c>
      <c r="W33" s="1464">
        <f t="shared" si="14"/>
        <v>100</v>
      </c>
      <c r="X33" s="1457"/>
      <c r="Y33" s="3773"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773"/>
      <c r="Q34" s="1491" t="str">
        <f t="shared" si="11"/>
        <v>项目建筑规模</v>
      </c>
      <c r="R34" s="1467" t="s">
        <v>8</v>
      </c>
      <c r="S34" s="1468" t="e">
        <f t="shared" si="12"/>
        <v>#N/A</v>
      </c>
      <c r="T34" s="1467" t="s">
        <v>8</v>
      </c>
      <c r="U34" s="1468" t="e">
        <f t="shared" si="13"/>
        <v>#N/A</v>
      </c>
      <c r="V34" s="1467" t="s">
        <v>8</v>
      </c>
      <c r="W34" s="1468" t="e">
        <f t="shared" si="14"/>
        <v>#N/A</v>
      </c>
      <c r="X34" s="1469"/>
      <c r="Y34" s="3773"/>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773"/>
      <c r="Q35" s="1462" t="str">
        <f t="shared" si="11"/>
        <v>建筑结构</v>
      </c>
      <c r="R35" s="1463" t="s">
        <v>8</v>
      </c>
      <c r="S35" s="1464">
        <f t="shared" si="12"/>
        <v>100</v>
      </c>
      <c r="T35" s="1463" t="s">
        <v>8</v>
      </c>
      <c r="U35" s="1464">
        <f t="shared" si="13"/>
        <v>100</v>
      </c>
      <c r="V35" s="1463" t="s">
        <v>8</v>
      </c>
      <c r="W35" s="1464">
        <f t="shared" si="14"/>
        <v>100</v>
      </c>
      <c r="X35" s="1457"/>
      <c r="Y35" s="3773"/>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773"/>
      <c r="Q36" s="1462" t="str">
        <f t="shared" si="11"/>
        <v>公共部分装修</v>
      </c>
      <c r="R36" s="1463" t="s">
        <v>8</v>
      </c>
      <c r="S36" s="1464">
        <f t="shared" si="12"/>
        <v>100</v>
      </c>
      <c r="T36" s="1463" t="s">
        <v>8</v>
      </c>
      <c r="U36" s="1464">
        <f t="shared" si="13"/>
        <v>100</v>
      </c>
      <c r="V36" s="1463" t="s">
        <v>8</v>
      </c>
      <c r="W36" s="1464">
        <f t="shared" si="14"/>
        <v>100</v>
      </c>
      <c r="X36" s="1457"/>
      <c r="Y36" s="3773"/>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773"/>
      <c r="Q37" s="1462" t="str">
        <f t="shared" si="11"/>
        <v>成新度</v>
      </c>
      <c r="R37" s="1463" t="s">
        <v>8</v>
      </c>
      <c r="S37" s="1464" t="e">
        <f t="shared" si="12"/>
        <v>#N/A</v>
      </c>
      <c r="T37" s="1463" t="s">
        <v>8</v>
      </c>
      <c r="U37" s="1464" t="e">
        <f t="shared" si="13"/>
        <v>#N/A</v>
      </c>
      <c r="V37" s="1463" t="s">
        <v>8</v>
      </c>
      <c r="W37" s="1464" t="e">
        <f t="shared" si="14"/>
        <v>#N/A</v>
      </c>
      <c r="X37" s="1457"/>
      <c r="Y37" s="3773"/>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773"/>
      <c r="Q38" s="1097" t="str">
        <f t="shared" si="11"/>
        <v>写字楼等级</v>
      </c>
      <c r="R38" s="1458" t="s">
        <v>8</v>
      </c>
      <c r="S38" s="1459">
        <f t="shared" si="12"/>
        <v>100</v>
      </c>
      <c r="T38" s="1458" t="s">
        <v>8</v>
      </c>
      <c r="U38" s="1459">
        <f t="shared" si="13"/>
        <v>100</v>
      </c>
      <c r="V38" s="1458" t="s">
        <v>8</v>
      </c>
      <c r="W38" s="1459">
        <f t="shared" si="14"/>
        <v>100</v>
      </c>
      <c r="X38" s="1460"/>
      <c r="Y38" s="3773"/>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773" t="s">
        <v>533</v>
      </c>
      <c r="Q39" s="1462" t="str">
        <f t="shared" si="11"/>
        <v>物业管理</v>
      </c>
      <c r="R39" s="1463" t="s">
        <v>8</v>
      </c>
      <c r="S39" s="1464">
        <f t="shared" si="12"/>
        <v>100</v>
      </c>
      <c r="T39" s="1463" t="s">
        <v>8</v>
      </c>
      <c r="U39" s="1464">
        <f t="shared" si="13"/>
        <v>100</v>
      </c>
      <c r="V39" s="1463" t="s">
        <v>8</v>
      </c>
      <c r="W39" s="1464">
        <f t="shared" si="14"/>
        <v>100</v>
      </c>
      <c r="X39" s="1457"/>
      <c r="Y39" s="3773" t="s">
        <v>533</v>
      </c>
      <c r="Z39" s="1465" t="str">
        <f t="shared" si="15"/>
        <v>物业管理</v>
      </c>
      <c r="AA39" s="1466">
        <f t="shared" si="3"/>
        <v>1</v>
      </c>
      <c r="AB39" s="1466">
        <f t="shared" si="4"/>
        <v>1</v>
      </c>
      <c r="AC39" s="1466">
        <f t="shared" si="5"/>
        <v>1</v>
      </c>
    </row>
    <row r="40" spans="1:29" ht="15">
      <c r="A40" s="571"/>
      <c r="B40" s="1764"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773"/>
      <c r="Q40" s="1462" t="str">
        <f t="shared" si="11"/>
        <v>市政基础设施</v>
      </c>
      <c r="R40" s="1463" t="s">
        <v>8</v>
      </c>
      <c r="S40" s="1464">
        <f t="shared" si="12"/>
        <v>100</v>
      </c>
      <c r="T40" s="1463" t="s">
        <v>8</v>
      </c>
      <c r="U40" s="1464">
        <f t="shared" si="13"/>
        <v>100</v>
      </c>
      <c r="V40" s="1463" t="s">
        <v>8</v>
      </c>
      <c r="W40" s="1464">
        <f t="shared" si="14"/>
        <v>100</v>
      </c>
      <c r="X40" s="1457"/>
      <c r="Y40" s="3773"/>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773"/>
      <c r="Q41" s="1462" t="str">
        <f t="shared" si="11"/>
        <v>层高</v>
      </c>
      <c r="R41" s="1463" t="s">
        <v>8</v>
      </c>
      <c r="S41" s="1464">
        <f t="shared" si="12"/>
        <v>100</v>
      </c>
      <c r="T41" s="1463" t="s">
        <v>8</v>
      </c>
      <c r="U41" s="1464">
        <f t="shared" si="13"/>
        <v>100</v>
      </c>
      <c r="V41" s="1463" t="s">
        <v>8</v>
      </c>
      <c r="W41" s="1464">
        <f t="shared" si="14"/>
        <v>100</v>
      </c>
      <c r="X41" s="1457"/>
      <c r="Y41" s="3773"/>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773"/>
      <c r="Q42" s="1491" t="str">
        <f t="shared" si="11"/>
        <v>单套建筑面积</v>
      </c>
      <c r="R42" s="1467" t="s">
        <v>8</v>
      </c>
      <c r="S42" s="1468">
        <f t="shared" si="12"/>
        <v>100</v>
      </c>
      <c r="T42" s="1467" t="s">
        <v>8</v>
      </c>
      <c r="U42" s="1468">
        <f t="shared" si="13"/>
        <v>100</v>
      </c>
      <c r="V42" s="1467" t="s">
        <v>8</v>
      </c>
      <c r="W42" s="1468">
        <f t="shared" si="14"/>
        <v>100</v>
      </c>
      <c r="X42" s="1469"/>
      <c r="Y42" s="3773"/>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773"/>
      <c r="Q43" s="1462" t="str">
        <f t="shared" si="11"/>
        <v>内部装修</v>
      </c>
      <c r="R43" s="1463" t="s">
        <v>8</v>
      </c>
      <c r="S43" s="1464">
        <f t="shared" si="12"/>
        <v>100</v>
      </c>
      <c r="T43" s="1463" t="s">
        <v>8</v>
      </c>
      <c r="U43" s="1464">
        <f t="shared" si="13"/>
        <v>100</v>
      </c>
      <c r="V43" s="1463" t="s">
        <v>8</v>
      </c>
      <c r="W43" s="1464">
        <f t="shared" si="14"/>
        <v>100</v>
      </c>
      <c r="X43" s="1457"/>
      <c r="Y43" s="3773"/>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773"/>
      <c r="Q44" s="1462" t="str">
        <f t="shared" si="11"/>
        <v>内部装修维护情况</v>
      </c>
      <c r="R44" s="1463" t="s">
        <v>8</v>
      </c>
      <c r="S44" s="1464">
        <f t="shared" si="12"/>
        <v>100</v>
      </c>
      <c r="T44" s="1463" t="s">
        <v>8</v>
      </c>
      <c r="U44" s="1464">
        <f t="shared" si="13"/>
        <v>100</v>
      </c>
      <c r="V44" s="1463" t="s">
        <v>8</v>
      </c>
      <c r="W44" s="1464">
        <f t="shared" si="14"/>
        <v>100</v>
      </c>
      <c r="X44" s="1457"/>
      <c r="Y44" s="3773"/>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773"/>
      <c r="Q45" s="1097">
        <f t="shared" si="11"/>
        <v>111</v>
      </c>
      <c r="R45" s="1458" t="s">
        <v>8</v>
      </c>
      <c r="S45" s="1459">
        <f t="shared" si="12"/>
        <v>100</v>
      </c>
      <c r="T45" s="1458" t="s">
        <v>8</v>
      </c>
      <c r="U45" s="1459">
        <f t="shared" si="13"/>
        <v>100</v>
      </c>
      <c r="V45" s="1458" t="s">
        <v>8</v>
      </c>
      <c r="W45" s="1459">
        <f t="shared" si="14"/>
        <v>100</v>
      </c>
      <c r="X45" s="1460"/>
      <c r="Y45" s="3773"/>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773"/>
      <c r="Q46" s="1462">
        <f t="shared" si="11"/>
        <v>111</v>
      </c>
      <c r="R46" s="1463" t="s">
        <v>8</v>
      </c>
      <c r="S46" s="1464">
        <f t="shared" si="12"/>
        <v>100</v>
      </c>
      <c r="T46" s="1463" t="s">
        <v>8</v>
      </c>
      <c r="U46" s="1464">
        <f t="shared" si="13"/>
        <v>100</v>
      </c>
      <c r="V46" s="1463" t="s">
        <v>8</v>
      </c>
      <c r="W46" s="1464">
        <f t="shared" si="14"/>
        <v>100</v>
      </c>
      <c r="X46" s="1457"/>
      <c r="Y46" s="3773"/>
      <c r="Z46" s="1465">
        <f t="shared" si="15"/>
        <v>111</v>
      </c>
      <c r="AA46" s="1466">
        <f t="shared" si="3"/>
        <v>1</v>
      </c>
      <c r="AB46" s="1466">
        <f t="shared" si="4"/>
        <v>1</v>
      </c>
      <c r="AC46" s="1466">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866"/>
      <c r="Q47" s="1462">
        <f t="shared" si="11"/>
        <v>111</v>
      </c>
      <c r="R47" s="1463" t="s">
        <v>8</v>
      </c>
      <c r="S47" s="1464">
        <f t="shared" si="12"/>
        <v>100</v>
      </c>
      <c r="T47" s="1463" t="s">
        <v>8</v>
      </c>
      <c r="U47" s="1464">
        <f t="shared" si="13"/>
        <v>100</v>
      </c>
      <c r="V47" s="1463" t="s">
        <v>8</v>
      </c>
      <c r="W47" s="1464">
        <f t="shared" si="14"/>
        <v>100</v>
      </c>
      <c r="X47" s="1457"/>
      <c r="Y47" s="3866"/>
      <c r="Z47" s="1465">
        <f t="shared" si="15"/>
        <v>111</v>
      </c>
      <c r="AA47" s="1466">
        <f t="shared" si="3"/>
        <v>1</v>
      </c>
      <c r="AB47" s="1466">
        <f t="shared" si="4"/>
        <v>1</v>
      </c>
      <c r="AC47" s="1466">
        <f t="shared" si="5"/>
        <v>1</v>
      </c>
    </row>
    <row r="48" spans="1:29" ht="15">
      <c r="A48" s="584" t="s">
        <v>718</v>
      </c>
      <c r="B48" s="858"/>
      <c r="C48" s="2392" t="s">
        <v>1</v>
      </c>
      <c r="D48" s="2393"/>
      <c r="E48" s="2394"/>
      <c r="F48" s="2395"/>
      <c r="G48" s="2396"/>
      <c r="H48" s="2397"/>
      <c r="I48" s="2394"/>
      <c r="J48" s="2397"/>
      <c r="K48" s="1496"/>
      <c r="L48" s="1980"/>
      <c r="M48" s="1970"/>
      <c r="N48" s="1970"/>
      <c r="O48" s="1970"/>
      <c r="P48" s="3775" t="str">
        <f>A48</f>
        <v>成交单价（元/平方米）</v>
      </c>
      <c r="Q48" s="3737"/>
      <c r="R48" s="3865">
        <f>E48</f>
        <v>0</v>
      </c>
      <c r="S48" s="3865"/>
      <c r="T48" s="3865">
        <f>G48</f>
        <v>0</v>
      </c>
      <c r="U48" s="3865"/>
      <c r="V48" s="3865">
        <f>I48</f>
        <v>0</v>
      </c>
      <c r="W48" s="3865"/>
      <c r="X48" s="1452"/>
      <c r="Y48" s="1471"/>
      <c r="Z48" s="1452"/>
      <c r="AA48" s="1452"/>
      <c r="AB48" s="1452"/>
      <c r="AC48" s="1452"/>
    </row>
    <row r="49" spans="1:29" ht="15.75" thickBot="1">
      <c r="A49" s="592" t="s">
        <v>2476</v>
      </c>
      <c r="B49" s="859"/>
      <c r="C49" s="2398" t="e">
        <f>R50</f>
        <v>#DIV/0!</v>
      </c>
      <c r="D49" s="2922" t="s">
        <v>2700</v>
      </c>
      <c r="E49" s="2399" t="e">
        <f>R49</f>
        <v>#DIV/0!</v>
      </c>
      <c r="F49" s="2923"/>
      <c r="G49" s="2398" t="e">
        <f>T49</f>
        <v>#DIV/0!</v>
      </c>
      <c r="H49" s="2923"/>
      <c r="I49" s="2399" t="e">
        <f>V49</f>
        <v>#DIV/0!</v>
      </c>
      <c r="J49" s="2923"/>
      <c r="K49" s="2931">
        <f>F49+H49+J49</f>
        <v>0</v>
      </c>
      <c r="L49" s="1980"/>
      <c r="M49" s="1970"/>
      <c r="N49" s="1970"/>
      <c r="O49" s="1970"/>
      <c r="P49" s="3775" t="str">
        <f>A49</f>
        <v>比较价格（元/平方米）</v>
      </c>
      <c r="Q49" s="3737"/>
      <c r="R49" s="3865" t="e">
        <f>IF(F1="售价",ROUND(PRODUCT(R48,AA7:AA47),0),ROUND(PRODUCT(R48,AA7:AA47),1))</f>
        <v>#DIV/0!</v>
      </c>
      <c r="S49" s="3865"/>
      <c r="T49" s="3865" t="e">
        <f>IF(F1="售价",ROUND(PRODUCT(T48,AB7:AB47),0),ROUND(PRODUCT(T48,AB7:AB47),1))</f>
        <v>#DIV/0!</v>
      </c>
      <c r="U49" s="3865"/>
      <c r="V49" s="3865" t="e">
        <f>IF(F1="售价",ROUND(PRODUCT(V48,AC7:AC47),0),ROUND(PRODUCT(V48,AC7:AC47),1))</f>
        <v>#DIV/0!</v>
      </c>
      <c r="W49" s="3865"/>
      <c r="X49" s="1452"/>
      <c r="Y49" s="1452"/>
      <c r="Z49" s="1452"/>
      <c r="AA49" s="1452"/>
      <c r="AB49" s="1452"/>
      <c r="AC49" s="1452"/>
    </row>
    <row r="50" spans="1:29" ht="15.75" thickBot="1">
      <c r="A50" s="596" t="s">
        <v>2635</v>
      </c>
      <c r="B50" s="597"/>
      <c r="C50" s="2400" t="e">
        <f>R50</f>
        <v>#DIV/0!</v>
      </c>
      <c r="D50" s="2400"/>
      <c r="E50" s="2400"/>
      <c r="F50" s="2400"/>
      <c r="G50" s="2400"/>
      <c r="H50" s="2400"/>
      <c r="I50" s="2400"/>
      <c r="J50" s="2400"/>
      <c r="K50" s="1497"/>
      <c r="L50" s="1980"/>
      <c r="M50" s="1970"/>
      <c r="N50" s="1970"/>
      <c r="O50" s="1970"/>
      <c r="P50" s="3869" t="str">
        <f>A50</f>
        <v>估价对象XX用房的比较价格（楼面单价，元/平方米）</v>
      </c>
      <c r="Q50" s="3775"/>
      <c r="R50" s="3864" t="e">
        <f>IF(F1="售价",ROUND(IF(D49="简单平均",AVERAGE(R49:V49),R49*F49+T49*H49+V49*J49),0),ROUND(IF(D49="简单平均",AVERAGE(R49:V49),R49*F49+T49*H49+V49*J49),1))</f>
        <v>#DIV/0!</v>
      </c>
      <c r="S50" s="3864"/>
      <c r="T50" s="3864"/>
      <c r="U50" s="3864"/>
      <c r="V50" s="3864"/>
      <c r="W50" s="3864"/>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20" t="s">
        <v>512</v>
      </c>
      <c r="B59" s="621"/>
      <c r="C59" s="2441" t="str">
        <f>YEAR(C7)&amp;"-"&amp;MONTH(C7)</f>
        <v>2022-7</v>
      </c>
      <c r="D59" s="2443">
        <f>EDATE(C59,-1)</f>
        <v>44713</v>
      </c>
      <c r="E59" s="2443">
        <f t="shared" ref="E59:O59" si="16">EDATE(D59,-1)</f>
        <v>44682</v>
      </c>
      <c r="F59" s="2443">
        <f t="shared" si="16"/>
        <v>44652</v>
      </c>
      <c r="G59" s="2443">
        <f t="shared" si="16"/>
        <v>44621</v>
      </c>
      <c r="H59" s="2443">
        <f t="shared" si="16"/>
        <v>44593</v>
      </c>
      <c r="I59" s="2443">
        <f t="shared" si="16"/>
        <v>44562</v>
      </c>
      <c r="J59" s="2443">
        <f t="shared" si="16"/>
        <v>44531</v>
      </c>
      <c r="K59" s="2443">
        <f t="shared" si="16"/>
        <v>44501</v>
      </c>
      <c r="L59" s="2443">
        <f t="shared" si="16"/>
        <v>44470</v>
      </c>
      <c r="M59" s="2443">
        <f t="shared" si="16"/>
        <v>44440</v>
      </c>
      <c r="N59" s="2443">
        <f t="shared" si="16"/>
        <v>44409</v>
      </c>
      <c r="O59" s="2443">
        <f t="shared" si="16"/>
        <v>44378</v>
      </c>
      <c r="P59" s="2045"/>
      <c r="Q59" s="1996"/>
      <c r="R59" s="1996"/>
      <c r="S59" s="1996"/>
      <c r="T59" s="1996"/>
      <c r="U59" s="1996"/>
      <c r="V59" s="1996"/>
      <c r="W59" s="1996"/>
      <c r="X59" s="1996"/>
      <c r="Y59" s="1996"/>
      <c r="Z59" s="1996"/>
      <c r="AA59" s="1996"/>
      <c r="AB59" s="1996"/>
      <c r="AC59" s="1996"/>
    </row>
    <row r="60" spans="1:29" s="1166"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2274</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2275</v>
      </c>
      <c r="C83" s="2364" t="s">
        <v>2276</v>
      </c>
      <c r="D83" s="2364" t="s">
        <v>2277</v>
      </c>
      <c r="E83" s="2364" t="s">
        <v>2278</v>
      </c>
      <c r="F83" s="2364" t="s">
        <v>2279</v>
      </c>
      <c r="G83" s="2364" t="s">
        <v>2280</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2273</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743" t="s">
        <v>505</v>
      </c>
      <c r="D4" s="3744"/>
      <c r="E4" s="3778" t="s">
        <v>506</v>
      </c>
      <c r="F4" s="3779"/>
      <c r="G4" s="3743" t="s">
        <v>507</v>
      </c>
      <c r="H4" s="3744"/>
      <c r="I4" s="3743" t="s">
        <v>508</v>
      </c>
      <c r="J4" s="3744"/>
      <c r="K4" s="491" t="s">
        <v>509</v>
      </c>
      <c r="L4" s="1969"/>
      <c r="M4" s="1970"/>
      <c r="N4" s="1970"/>
      <c r="O4" s="1970"/>
      <c r="P4" s="3745" t="s">
        <v>510</v>
      </c>
      <c r="Q4" s="3746"/>
      <c r="R4" s="3751" t="s">
        <v>506</v>
      </c>
      <c r="S4" s="3752"/>
      <c r="T4" s="3751" t="s">
        <v>507</v>
      </c>
      <c r="U4" s="3752"/>
      <c r="V4" s="3738" t="s">
        <v>508</v>
      </c>
      <c r="W4" s="3738"/>
      <c r="X4" s="1457"/>
      <c r="Y4" s="3751" t="s">
        <v>510</v>
      </c>
      <c r="Z4" s="3752"/>
      <c r="AA4" s="3740" t="s">
        <v>506</v>
      </c>
      <c r="AB4" s="3741" t="s">
        <v>507</v>
      </c>
      <c r="AC4" s="3740" t="s">
        <v>508</v>
      </c>
    </row>
    <row r="5" spans="1:29" ht="15">
      <c r="A5" s="492"/>
      <c r="B5" s="493"/>
      <c r="C5" s="3759" t="s">
        <v>2629</v>
      </c>
      <c r="D5" s="3760"/>
      <c r="E5" s="3780" t="s">
        <v>2630</v>
      </c>
      <c r="F5" s="3781"/>
      <c r="G5" s="3759" t="s">
        <v>2631</v>
      </c>
      <c r="H5" s="3760"/>
      <c r="I5" s="3759" t="s">
        <v>2632</v>
      </c>
      <c r="J5" s="3760"/>
      <c r="K5" s="491"/>
      <c r="L5" s="1969"/>
      <c r="M5" s="1970"/>
      <c r="N5" s="1970"/>
      <c r="O5" s="1970"/>
      <c r="P5" s="3747"/>
      <c r="Q5" s="3748"/>
      <c r="R5" s="3753"/>
      <c r="S5" s="3754"/>
      <c r="T5" s="3753"/>
      <c r="U5" s="3754"/>
      <c r="V5" s="3738"/>
      <c r="W5" s="3738"/>
      <c r="X5" s="1457"/>
      <c r="Y5" s="3753"/>
      <c r="Z5" s="3754"/>
      <c r="AA5" s="3741"/>
      <c r="AB5" s="3741"/>
      <c r="AC5" s="3741"/>
    </row>
    <row r="6" spans="1:29" ht="15.75" thickBot="1">
      <c r="A6" s="494"/>
      <c r="B6" s="495"/>
      <c r="C6" s="3757" t="s">
        <v>2633</v>
      </c>
      <c r="D6" s="3758"/>
      <c r="E6" s="3776" t="s">
        <v>2633</v>
      </c>
      <c r="F6" s="3777"/>
      <c r="G6" s="3757" t="s">
        <v>2633</v>
      </c>
      <c r="H6" s="3758"/>
      <c r="I6" s="3757" t="s">
        <v>2633</v>
      </c>
      <c r="J6" s="3758"/>
      <c r="K6" s="491" t="s">
        <v>511</v>
      </c>
      <c r="L6" s="1969"/>
      <c r="M6" s="1970"/>
      <c r="N6" s="1970"/>
      <c r="O6" s="1970"/>
      <c r="P6" s="3749"/>
      <c r="Q6" s="3750"/>
      <c r="R6" s="3753"/>
      <c r="S6" s="3754"/>
      <c r="T6" s="3755"/>
      <c r="U6" s="3756"/>
      <c r="V6" s="3738"/>
      <c r="W6" s="3738"/>
      <c r="X6" s="1457"/>
      <c r="Y6" s="3755"/>
      <c r="Z6" s="3756"/>
      <c r="AA6" s="3742"/>
      <c r="AB6" s="3742"/>
      <c r="AC6" s="3742"/>
    </row>
    <row r="7" spans="1:29" s="1166" customFormat="1" ht="15.75" thickBot="1">
      <c r="A7" s="2551"/>
      <c r="B7" s="2558" t="s">
        <v>512</v>
      </c>
      <c r="C7" s="496">
        <f>'数据-取费表'!B2</f>
        <v>44747</v>
      </c>
      <c r="D7" s="497">
        <v>100</v>
      </c>
      <c r="E7" s="498"/>
      <c r="F7" s="499">
        <f>SUMIF(52:52,YEAR(E7)&amp;"-"&amp;MONTH(E7),53:53)</f>
        <v>0</v>
      </c>
      <c r="G7" s="498"/>
      <c r="H7" s="497">
        <f>SUMIF(52:52,YEAR(G7)&amp;"-"&amp;MONTH(G7),53:53)</f>
        <v>0</v>
      </c>
      <c r="I7" s="498"/>
      <c r="J7" s="497">
        <f>SUMIF(52:52,YEAR(I7)&amp;"-"&amp;MONTH(I7),53:53)</f>
        <v>0</v>
      </c>
      <c r="K7" s="501"/>
      <c r="L7" s="1971"/>
      <c r="M7" s="1972"/>
      <c r="N7" s="1972"/>
      <c r="O7" s="1972"/>
      <c r="P7" s="3767" t="s">
        <v>513</v>
      </c>
      <c r="Q7" s="3769"/>
      <c r="R7" s="1458" t="s">
        <v>8</v>
      </c>
      <c r="S7" s="1459">
        <f t="shared" ref="S7:S15" si="0">F7</f>
        <v>0</v>
      </c>
      <c r="T7" s="1458" t="s">
        <v>8</v>
      </c>
      <c r="U7" s="1459">
        <f t="shared" ref="U7:U15" si="1">H7</f>
        <v>0</v>
      </c>
      <c r="V7" s="1458" t="s">
        <v>8</v>
      </c>
      <c r="W7" s="1459">
        <f t="shared" ref="W7:W15" si="2">J7</f>
        <v>0</v>
      </c>
      <c r="X7" s="1460"/>
      <c r="Y7" s="3767" t="s">
        <v>513</v>
      </c>
      <c r="Z7" s="3768"/>
      <c r="AA7" s="1461" t="e">
        <f>D7/F7</f>
        <v>#DIV/0!</v>
      </c>
      <c r="AB7" s="1461" t="e">
        <f>D7/H7</f>
        <v>#DIV/0!</v>
      </c>
      <c r="AC7" s="1461" t="e">
        <f>D7/J7</f>
        <v>#DIV/0!</v>
      </c>
    </row>
    <row r="8" spans="1:29" s="1166"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767" t="s">
        <v>516</v>
      </c>
      <c r="Q8" s="3768"/>
      <c r="R8" s="1458" t="s">
        <v>8</v>
      </c>
      <c r="S8" s="1459">
        <f t="shared" si="0"/>
        <v>0</v>
      </c>
      <c r="T8" s="1458" t="s">
        <v>8</v>
      </c>
      <c r="U8" s="1459">
        <f t="shared" si="1"/>
        <v>0</v>
      </c>
      <c r="V8" s="1458" t="s">
        <v>8</v>
      </c>
      <c r="W8" s="1459">
        <f t="shared" si="2"/>
        <v>0</v>
      </c>
      <c r="X8" s="1460"/>
      <c r="Y8" s="3767" t="s">
        <v>516</v>
      </c>
      <c r="Z8" s="3768"/>
      <c r="AA8" s="1461" t="e">
        <f t="shared" ref="AA8:AA40" si="3">D8/F8</f>
        <v>#DIV/0!</v>
      </c>
      <c r="AB8" s="1461" t="e">
        <f t="shared" ref="AB8:AB40" si="4">D8/H8</f>
        <v>#DIV/0!</v>
      </c>
      <c r="AC8" s="1461" t="e">
        <f t="shared" ref="AC8:AC40" si="5">D8/J8</f>
        <v>#DIV/0!</v>
      </c>
    </row>
    <row r="9" spans="1:29" s="1166" customFormat="1" ht="15">
      <c r="A9" s="2553"/>
      <c r="B9" s="2560" t="s">
        <v>2472</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737" t="s">
        <v>518</v>
      </c>
      <c r="Q9" s="1097" t="str">
        <f t="shared" ref="Q9:Q15" si="6">B9</f>
        <v>用途</v>
      </c>
      <c r="R9" s="1458" t="s">
        <v>8</v>
      </c>
      <c r="S9" s="1459">
        <f t="shared" si="0"/>
        <v>100</v>
      </c>
      <c r="T9" s="1458" t="s">
        <v>8</v>
      </c>
      <c r="U9" s="1459">
        <f t="shared" si="1"/>
        <v>100</v>
      </c>
      <c r="V9" s="1458" t="s">
        <v>8</v>
      </c>
      <c r="W9" s="1459">
        <f t="shared" si="2"/>
        <v>100</v>
      </c>
      <c r="X9" s="1460"/>
      <c r="Y9" s="3681"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737"/>
      <c r="Q11" s="1097" t="str">
        <f t="shared" si="6"/>
        <v>容积率</v>
      </c>
      <c r="R11" s="1458" t="s">
        <v>8</v>
      </c>
      <c r="S11" s="1459" t="e">
        <f t="shared" si="0"/>
        <v>#N/A</v>
      </c>
      <c r="T11" s="1458" t="s">
        <v>8</v>
      </c>
      <c r="U11" s="1459" t="e">
        <f t="shared" si="1"/>
        <v>#N/A</v>
      </c>
      <c r="V11" s="1458" t="s">
        <v>8</v>
      </c>
      <c r="W11" s="1459" t="e">
        <f t="shared" si="2"/>
        <v>#N/A</v>
      </c>
      <c r="X11" s="1460"/>
      <c r="Y11" s="3681"/>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737"/>
      <c r="Q12" s="1097">
        <f t="shared" si="6"/>
        <v>111</v>
      </c>
      <c r="R12" s="1458" t="s">
        <v>8</v>
      </c>
      <c r="S12" s="1459">
        <f t="shared" si="0"/>
        <v>100</v>
      </c>
      <c r="T12" s="1458" t="s">
        <v>8</v>
      </c>
      <c r="U12" s="1459">
        <f t="shared" si="1"/>
        <v>100</v>
      </c>
      <c r="V12" s="1458" t="s">
        <v>8</v>
      </c>
      <c r="W12" s="1459">
        <f t="shared" si="2"/>
        <v>100</v>
      </c>
      <c r="X12" s="1460"/>
      <c r="Y12" s="3681"/>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737"/>
      <c r="Q13" s="1097">
        <f t="shared" si="6"/>
        <v>111</v>
      </c>
      <c r="R13" s="1458" t="s">
        <v>8</v>
      </c>
      <c r="S13" s="1459">
        <f t="shared" si="0"/>
        <v>100</v>
      </c>
      <c r="T13" s="1458" t="s">
        <v>8</v>
      </c>
      <c r="U13" s="1459">
        <f t="shared" si="1"/>
        <v>100</v>
      </c>
      <c r="V13" s="1458" t="s">
        <v>8</v>
      </c>
      <c r="W13" s="1459">
        <f t="shared" si="2"/>
        <v>100</v>
      </c>
      <c r="X13" s="1460"/>
      <c r="Y13" s="3681"/>
      <c r="Z13" s="1096">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737"/>
      <c r="Q14" s="1097">
        <f t="shared" si="6"/>
        <v>111</v>
      </c>
      <c r="R14" s="1458" t="s">
        <v>8</v>
      </c>
      <c r="S14" s="1459">
        <f t="shared" si="0"/>
        <v>100</v>
      </c>
      <c r="T14" s="1458" t="s">
        <v>8</v>
      </c>
      <c r="U14" s="1459">
        <f t="shared" si="1"/>
        <v>100</v>
      </c>
      <c r="V14" s="1458" t="s">
        <v>8</v>
      </c>
      <c r="W14" s="1459">
        <f t="shared" si="2"/>
        <v>100</v>
      </c>
      <c r="X14" s="1460"/>
      <c r="Y14" s="3681"/>
      <c r="Z14" s="1096">
        <f t="shared" si="7"/>
        <v>111</v>
      </c>
      <c r="AA14" s="1461">
        <f t="shared" si="3"/>
        <v>1</v>
      </c>
      <c r="AB14" s="1461">
        <f t="shared" si="4"/>
        <v>1</v>
      </c>
      <c r="AC14" s="1461">
        <f t="shared" si="5"/>
        <v>1</v>
      </c>
    </row>
    <row r="15" spans="1:29" ht="57">
      <c r="A15" s="2549" t="s">
        <v>2470</v>
      </c>
      <c r="B15" s="164" t="s">
        <v>771</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770" t="s">
        <v>523</v>
      </c>
      <c r="Q15" s="1462" t="str">
        <f t="shared" si="6"/>
        <v>产业集聚程度</v>
      </c>
      <c r="R15" s="1463" t="s">
        <v>8</v>
      </c>
      <c r="S15" s="1464">
        <f t="shared" si="0"/>
        <v>100</v>
      </c>
      <c r="T15" s="1463" t="s">
        <v>8</v>
      </c>
      <c r="U15" s="1464">
        <f t="shared" si="1"/>
        <v>100</v>
      </c>
      <c r="V15" s="1463" t="s">
        <v>8</v>
      </c>
      <c r="W15" s="1464">
        <f t="shared" si="2"/>
        <v>100</v>
      </c>
      <c r="X15" s="1457"/>
      <c r="Y15" s="3770"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71"/>
      <c r="Q16" s="1462"/>
      <c r="R16" s="1463"/>
      <c r="S16" s="1464"/>
      <c r="T16" s="1463"/>
      <c r="U16" s="1464"/>
      <c r="V16" s="1463"/>
      <c r="W16" s="1464"/>
      <c r="X16" s="1457"/>
      <c r="Y16" s="3771"/>
      <c r="Z16" s="1465"/>
      <c r="AA16" s="1466">
        <v>1</v>
      </c>
      <c r="AB16" s="1466">
        <v>1</v>
      </c>
      <c r="AC16" s="146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771"/>
      <c r="Q17" s="1462" t="str">
        <f>B17</f>
        <v>交通便捷度</v>
      </c>
      <c r="R17" s="1463" t="s">
        <v>8</v>
      </c>
      <c r="S17" s="1464">
        <f>F17</f>
        <v>100</v>
      </c>
      <c r="T17" s="1463" t="s">
        <v>8</v>
      </c>
      <c r="U17" s="1464">
        <f>H17</f>
        <v>100</v>
      </c>
      <c r="V17" s="1463" t="s">
        <v>8</v>
      </c>
      <c r="W17" s="1464">
        <f>J17</f>
        <v>100</v>
      </c>
      <c r="X17" s="1457"/>
      <c r="Y17" s="3771"/>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71"/>
      <c r="Q18" s="1462"/>
      <c r="R18" s="1463"/>
      <c r="S18" s="1464"/>
      <c r="T18" s="1463"/>
      <c r="U18" s="1464"/>
      <c r="V18" s="1463"/>
      <c r="W18" s="1464"/>
      <c r="X18" s="1457"/>
      <c r="Y18" s="3771"/>
      <c r="Z18" s="1465"/>
      <c r="AA18" s="1466">
        <v>1</v>
      </c>
      <c r="AB18" s="1466">
        <v>1</v>
      </c>
      <c r="AC18" s="1466">
        <v>1</v>
      </c>
    </row>
    <row r="19" spans="1:29" ht="42.75">
      <c r="A19" s="509"/>
      <c r="B19" s="2369"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771"/>
      <c r="Q19" s="1462" t="str">
        <f>B19</f>
        <v>公共配套设施</v>
      </c>
      <c r="R19" s="1463" t="s">
        <v>8</v>
      </c>
      <c r="S19" s="1464">
        <f>F19</f>
        <v>100</v>
      </c>
      <c r="T19" s="1463" t="s">
        <v>8</v>
      </c>
      <c r="U19" s="1464">
        <f>H19</f>
        <v>100</v>
      </c>
      <c r="V19" s="1463" t="s">
        <v>8</v>
      </c>
      <c r="W19" s="1464">
        <f>J19</f>
        <v>100</v>
      </c>
      <c r="X19" s="1457"/>
      <c r="Y19" s="3771"/>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771"/>
      <c r="Q20" s="1462"/>
      <c r="R20" s="1463"/>
      <c r="S20" s="1464"/>
      <c r="T20" s="1463"/>
      <c r="U20" s="1464"/>
      <c r="V20" s="1463"/>
      <c r="W20" s="1464"/>
      <c r="X20" s="1457"/>
      <c r="Y20" s="3771"/>
      <c r="Z20" s="1465"/>
      <c r="AA20" s="1466">
        <v>1</v>
      </c>
      <c r="AB20" s="1466">
        <v>1</v>
      </c>
      <c r="AC20" s="1466">
        <v>1</v>
      </c>
    </row>
    <row r="21" spans="1:29" ht="28.5">
      <c r="A21" s="509"/>
      <c r="B21" s="2357"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771"/>
      <c r="Q21" s="2351" t="str">
        <f>B21</f>
        <v>基础设施水平</v>
      </c>
      <c r="R21" s="1463" t="s">
        <v>8</v>
      </c>
      <c r="S21" s="1464">
        <f>F21</f>
        <v>100</v>
      </c>
      <c r="T21" s="1463" t="s">
        <v>8</v>
      </c>
      <c r="U21" s="1464">
        <f>H21</f>
        <v>100</v>
      </c>
      <c r="V21" s="1463" t="s">
        <v>8</v>
      </c>
      <c r="W21" s="1464">
        <f>J21</f>
        <v>100</v>
      </c>
      <c r="X21" s="2353"/>
      <c r="Y21" s="3771"/>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771"/>
      <c r="Q22" s="2351"/>
      <c r="R22" s="1463"/>
      <c r="S22" s="1464"/>
      <c r="T22" s="1463"/>
      <c r="U22" s="1464"/>
      <c r="V22" s="1463"/>
      <c r="W22" s="1464"/>
      <c r="X22" s="2353"/>
      <c r="Y22" s="3771"/>
      <c r="Z22" s="2352"/>
      <c r="AA22" s="1466">
        <v>1</v>
      </c>
      <c r="AB22" s="1466">
        <v>1</v>
      </c>
      <c r="AC22" s="1466">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771"/>
      <c r="Q23" s="1462" t="str">
        <f>B23</f>
        <v>环境质量</v>
      </c>
      <c r="R23" s="1463" t="s">
        <v>8</v>
      </c>
      <c r="S23" s="1464">
        <f>F23</f>
        <v>100</v>
      </c>
      <c r="T23" s="1463" t="s">
        <v>8</v>
      </c>
      <c r="U23" s="1464">
        <f>H23</f>
        <v>100</v>
      </c>
      <c r="V23" s="1463" t="s">
        <v>8</v>
      </c>
      <c r="W23" s="1464">
        <f>J23</f>
        <v>100</v>
      </c>
      <c r="X23" s="1457"/>
      <c r="Y23" s="3771"/>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771"/>
      <c r="Q24" s="1462"/>
      <c r="R24" s="1463"/>
      <c r="S24" s="1464"/>
      <c r="T24" s="1463"/>
      <c r="U24" s="1464"/>
      <c r="V24" s="1463"/>
      <c r="W24" s="1464"/>
      <c r="X24" s="1457"/>
      <c r="Y24" s="3771"/>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771"/>
      <c r="Q25" s="1462">
        <f>B25</f>
        <v>111</v>
      </c>
      <c r="R25" s="1463" t="s">
        <v>8</v>
      </c>
      <c r="S25" s="1464">
        <f>F25</f>
        <v>100</v>
      </c>
      <c r="T25" s="1463" t="s">
        <v>8</v>
      </c>
      <c r="U25" s="1464">
        <f>H25</f>
        <v>100</v>
      </c>
      <c r="V25" s="1463" t="s">
        <v>8</v>
      </c>
      <c r="W25" s="1464">
        <f>J25</f>
        <v>100</v>
      </c>
      <c r="X25" s="1457"/>
      <c r="Y25" s="3771"/>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771"/>
      <c r="Q26" s="1462">
        <f t="shared" ref="Q26:Q40" si="11">B26</f>
        <v>111</v>
      </c>
      <c r="R26" s="1463" t="s">
        <v>8</v>
      </c>
      <c r="S26" s="1464">
        <f>F26</f>
        <v>100</v>
      </c>
      <c r="T26" s="1463" t="s">
        <v>8</v>
      </c>
      <c r="U26" s="1464">
        <f>H26</f>
        <v>100</v>
      </c>
      <c r="V26" s="1463" t="s">
        <v>8</v>
      </c>
      <c r="W26" s="1464">
        <f>J26</f>
        <v>100</v>
      </c>
      <c r="X26" s="1457"/>
      <c r="Y26" s="3771"/>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771"/>
      <c r="Q27" s="1097">
        <f t="shared" si="11"/>
        <v>111</v>
      </c>
      <c r="R27" s="1458" t="s">
        <v>8</v>
      </c>
      <c r="S27" s="1459">
        <f>F27</f>
        <v>100</v>
      </c>
      <c r="T27" s="1458" t="s">
        <v>8</v>
      </c>
      <c r="U27" s="1459">
        <f>H27</f>
        <v>100</v>
      </c>
      <c r="V27" s="1458" t="s">
        <v>8</v>
      </c>
      <c r="W27" s="1459">
        <f>J27</f>
        <v>100</v>
      </c>
      <c r="X27" s="1460"/>
      <c r="Y27" s="3771"/>
      <c r="Z27" s="1096">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771"/>
      <c r="Q28" s="1462">
        <f t="shared" si="11"/>
        <v>111</v>
      </c>
      <c r="R28" s="1463" t="s">
        <v>8</v>
      </c>
      <c r="S28" s="1464">
        <f t="shared" ref="S28:S40" si="12">F28</f>
        <v>100</v>
      </c>
      <c r="T28" s="1463" t="s">
        <v>8</v>
      </c>
      <c r="U28" s="1464">
        <f t="shared" ref="U28:U40" si="13">H28</f>
        <v>100</v>
      </c>
      <c r="V28" s="1463" t="s">
        <v>8</v>
      </c>
      <c r="W28" s="1464">
        <f t="shared" ref="W28:W40" si="14">J28</f>
        <v>100</v>
      </c>
      <c r="X28" s="1457"/>
      <c r="Y28" s="3771"/>
      <c r="Z28" s="1465">
        <f t="shared" ref="Z28:Z40" si="15">Q28</f>
        <v>111</v>
      </c>
      <c r="AA28" s="1466">
        <f t="shared" si="3"/>
        <v>1</v>
      </c>
      <c r="AB28" s="1466">
        <f t="shared" si="4"/>
        <v>1</v>
      </c>
      <c r="AC28" s="1466">
        <f t="shared" si="5"/>
        <v>1</v>
      </c>
    </row>
    <row r="29" spans="1:29" ht="15">
      <c r="A29" s="2546" t="s">
        <v>2471</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772" t="s">
        <v>533</v>
      </c>
      <c r="Q29" s="1462" t="str">
        <f t="shared" si="11"/>
        <v>建筑类型</v>
      </c>
      <c r="R29" s="1463" t="s">
        <v>8</v>
      </c>
      <c r="S29" s="1464">
        <f t="shared" si="12"/>
        <v>100</v>
      </c>
      <c r="T29" s="1463" t="s">
        <v>8</v>
      </c>
      <c r="U29" s="1464">
        <f t="shared" si="13"/>
        <v>100</v>
      </c>
      <c r="V29" s="1463" t="s">
        <v>8</v>
      </c>
      <c r="W29" s="1464">
        <f t="shared" si="14"/>
        <v>100</v>
      </c>
      <c r="X29" s="1457"/>
      <c r="Y29" s="3773"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773"/>
      <c r="Q30" s="1491" t="str">
        <f t="shared" si="11"/>
        <v>项目建筑规模</v>
      </c>
      <c r="R30" s="1467" t="s">
        <v>8</v>
      </c>
      <c r="S30" s="1468" t="e">
        <f t="shared" si="12"/>
        <v>#N/A</v>
      </c>
      <c r="T30" s="1467" t="s">
        <v>8</v>
      </c>
      <c r="U30" s="1468" t="e">
        <f t="shared" si="13"/>
        <v>#N/A</v>
      </c>
      <c r="V30" s="1467" t="s">
        <v>8</v>
      </c>
      <c r="W30" s="1468" t="e">
        <f t="shared" si="14"/>
        <v>#N/A</v>
      </c>
      <c r="X30" s="1469"/>
      <c r="Y30" s="3773"/>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773"/>
      <c r="Q31" s="1462" t="str">
        <f t="shared" si="11"/>
        <v>建筑结构</v>
      </c>
      <c r="R31" s="1463" t="s">
        <v>8</v>
      </c>
      <c r="S31" s="1464">
        <f t="shared" si="12"/>
        <v>100</v>
      </c>
      <c r="T31" s="1463" t="s">
        <v>8</v>
      </c>
      <c r="U31" s="1464">
        <f t="shared" si="13"/>
        <v>100</v>
      </c>
      <c r="V31" s="1463" t="s">
        <v>8</v>
      </c>
      <c r="W31" s="1464">
        <f t="shared" si="14"/>
        <v>100</v>
      </c>
      <c r="X31" s="1457"/>
      <c r="Y31" s="3773"/>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773"/>
      <c r="Q32" s="1462" t="str">
        <f t="shared" si="11"/>
        <v>公共部分装修</v>
      </c>
      <c r="R32" s="1463" t="s">
        <v>8</v>
      </c>
      <c r="S32" s="1464">
        <f t="shared" si="12"/>
        <v>100</v>
      </c>
      <c r="T32" s="1463" t="s">
        <v>8</v>
      </c>
      <c r="U32" s="1464">
        <f t="shared" si="13"/>
        <v>100</v>
      </c>
      <c r="V32" s="1463" t="s">
        <v>8</v>
      </c>
      <c r="W32" s="1464">
        <f t="shared" si="14"/>
        <v>100</v>
      </c>
      <c r="X32" s="1457"/>
      <c r="Y32" s="3773"/>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773"/>
      <c r="Q33" s="1462" t="str">
        <f t="shared" si="11"/>
        <v>成新度</v>
      </c>
      <c r="R33" s="1463" t="s">
        <v>8</v>
      </c>
      <c r="S33" s="1464" t="e">
        <f t="shared" si="12"/>
        <v>#N/A</v>
      </c>
      <c r="T33" s="1463" t="s">
        <v>8</v>
      </c>
      <c r="U33" s="1464" t="e">
        <f t="shared" si="13"/>
        <v>#N/A</v>
      </c>
      <c r="V33" s="1463" t="s">
        <v>8</v>
      </c>
      <c r="W33" s="1464" t="e">
        <f t="shared" si="14"/>
        <v>#N/A</v>
      </c>
      <c r="X33" s="1457"/>
      <c r="Y33" s="3773"/>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773"/>
      <c r="Q34" s="1097" t="str">
        <f t="shared" si="11"/>
        <v>物业管理</v>
      </c>
      <c r="R34" s="1458" t="s">
        <v>8</v>
      </c>
      <c r="S34" s="1459">
        <f t="shared" si="12"/>
        <v>100</v>
      </c>
      <c r="T34" s="1458" t="s">
        <v>8</v>
      </c>
      <c r="U34" s="1459">
        <f t="shared" si="13"/>
        <v>100</v>
      </c>
      <c r="V34" s="1458" t="s">
        <v>8</v>
      </c>
      <c r="W34" s="1459">
        <f t="shared" si="14"/>
        <v>100</v>
      </c>
      <c r="X34" s="1460"/>
      <c r="Y34" s="3773"/>
      <c r="Z34" s="1096" t="str">
        <f t="shared" si="15"/>
        <v>物业管理</v>
      </c>
      <c r="AA34" s="1461">
        <f t="shared" si="3"/>
        <v>1</v>
      </c>
      <c r="AB34" s="1461">
        <f t="shared" si="4"/>
        <v>1</v>
      </c>
      <c r="AC34" s="1461">
        <f t="shared" si="5"/>
        <v>1</v>
      </c>
    </row>
    <row r="35" spans="1:29" ht="15">
      <c r="A35" s="571"/>
      <c r="B35" s="1764"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773" t="s">
        <v>533</v>
      </c>
      <c r="Q35" s="1462" t="str">
        <f t="shared" si="11"/>
        <v>市政基础设施</v>
      </c>
      <c r="R35" s="1463" t="s">
        <v>8</v>
      </c>
      <c r="S35" s="1464">
        <f t="shared" si="12"/>
        <v>100</v>
      </c>
      <c r="T35" s="1463" t="s">
        <v>8</v>
      </c>
      <c r="U35" s="1464">
        <f t="shared" si="13"/>
        <v>100</v>
      </c>
      <c r="V35" s="1463" t="s">
        <v>8</v>
      </c>
      <c r="W35" s="1464">
        <f t="shared" si="14"/>
        <v>100</v>
      </c>
      <c r="X35" s="1457"/>
      <c r="Y35" s="3773"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773"/>
      <c r="Q36" s="1462" t="str">
        <f t="shared" si="11"/>
        <v>内部装修</v>
      </c>
      <c r="R36" s="1463" t="s">
        <v>8</v>
      </c>
      <c r="S36" s="1464">
        <f t="shared" si="12"/>
        <v>100</v>
      </c>
      <c r="T36" s="1463" t="s">
        <v>8</v>
      </c>
      <c r="U36" s="1464">
        <f t="shared" si="13"/>
        <v>100</v>
      </c>
      <c r="V36" s="1463" t="s">
        <v>8</v>
      </c>
      <c r="W36" s="1464">
        <f t="shared" si="14"/>
        <v>100</v>
      </c>
      <c r="X36" s="1457"/>
      <c r="Y36" s="3773"/>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773"/>
      <c r="Q37" s="1462" t="str">
        <f t="shared" si="11"/>
        <v>内部装修状况</v>
      </c>
      <c r="R37" s="1463" t="s">
        <v>8</v>
      </c>
      <c r="S37" s="1464">
        <f t="shared" si="12"/>
        <v>100</v>
      </c>
      <c r="T37" s="1463" t="s">
        <v>8</v>
      </c>
      <c r="U37" s="1464">
        <f t="shared" si="13"/>
        <v>100</v>
      </c>
      <c r="V37" s="1463" t="s">
        <v>8</v>
      </c>
      <c r="W37" s="1464">
        <f t="shared" si="14"/>
        <v>100</v>
      </c>
      <c r="X37" s="1457"/>
      <c r="Y37" s="3773"/>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773"/>
      <c r="Q38" s="1491">
        <f t="shared" si="11"/>
        <v>111</v>
      </c>
      <c r="R38" s="1467" t="s">
        <v>8</v>
      </c>
      <c r="S38" s="1468">
        <f t="shared" si="12"/>
        <v>100</v>
      </c>
      <c r="T38" s="1467" t="s">
        <v>8</v>
      </c>
      <c r="U38" s="1468">
        <f t="shared" si="13"/>
        <v>100</v>
      </c>
      <c r="V38" s="1467" t="s">
        <v>8</v>
      </c>
      <c r="W38" s="1468">
        <f t="shared" si="14"/>
        <v>100</v>
      </c>
      <c r="X38" s="1469"/>
      <c r="Y38" s="3773"/>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773"/>
      <c r="Q39" s="1462">
        <f t="shared" si="11"/>
        <v>111</v>
      </c>
      <c r="R39" s="1463" t="s">
        <v>8</v>
      </c>
      <c r="S39" s="1464">
        <f t="shared" si="12"/>
        <v>100</v>
      </c>
      <c r="T39" s="1463" t="s">
        <v>8</v>
      </c>
      <c r="U39" s="1464">
        <f t="shared" si="13"/>
        <v>100</v>
      </c>
      <c r="V39" s="1463" t="s">
        <v>8</v>
      </c>
      <c r="W39" s="1464">
        <f t="shared" si="14"/>
        <v>100</v>
      </c>
      <c r="X39" s="1457"/>
      <c r="Y39" s="3773"/>
      <c r="Z39" s="1465">
        <f t="shared" si="15"/>
        <v>111</v>
      </c>
      <c r="AA39" s="1466">
        <f t="shared" si="3"/>
        <v>1</v>
      </c>
      <c r="AB39" s="1466">
        <f t="shared" si="4"/>
        <v>1</v>
      </c>
      <c r="AC39" s="1466">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866"/>
      <c r="Q40" s="1462">
        <f t="shared" si="11"/>
        <v>111</v>
      </c>
      <c r="R40" s="1463" t="s">
        <v>8</v>
      </c>
      <c r="S40" s="1464">
        <f t="shared" si="12"/>
        <v>100</v>
      </c>
      <c r="T40" s="1463" t="s">
        <v>8</v>
      </c>
      <c r="U40" s="1464">
        <f t="shared" si="13"/>
        <v>100</v>
      </c>
      <c r="V40" s="1463" t="s">
        <v>8</v>
      </c>
      <c r="W40" s="1464">
        <f t="shared" si="14"/>
        <v>100</v>
      </c>
      <c r="X40" s="1457"/>
      <c r="Y40" s="3866"/>
      <c r="Z40" s="1465">
        <f t="shared" si="15"/>
        <v>111</v>
      </c>
      <c r="AA40" s="1466">
        <f t="shared" si="3"/>
        <v>1</v>
      </c>
      <c r="AB40" s="1466">
        <f t="shared" si="4"/>
        <v>1</v>
      </c>
      <c r="AC40" s="1466">
        <f t="shared" si="5"/>
        <v>1</v>
      </c>
    </row>
    <row r="41" spans="1:29" ht="15">
      <c r="A41" s="584" t="s">
        <v>718</v>
      </c>
      <c r="B41" s="858"/>
      <c r="C41" s="2392" t="s">
        <v>1</v>
      </c>
      <c r="D41" s="2393"/>
      <c r="E41" s="2394"/>
      <c r="F41" s="2395"/>
      <c r="G41" s="2396"/>
      <c r="H41" s="2397"/>
      <c r="I41" s="2394"/>
      <c r="J41" s="2397"/>
      <c r="K41" s="1496"/>
      <c r="L41" s="1980"/>
      <c r="M41" s="1981"/>
      <c r="N41" s="1970"/>
      <c r="O41" s="1981"/>
      <c r="P41" s="3737" t="str">
        <f>A41</f>
        <v>成交单价（元/平方米）</v>
      </c>
      <c r="Q41" s="3737"/>
      <c r="R41" s="3865">
        <f>E41</f>
        <v>0</v>
      </c>
      <c r="S41" s="3865"/>
      <c r="T41" s="3865">
        <f>G41</f>
        <v>0</v>
      </c>
      <c r="U41" s="3865"/>
      <c r="V41" s="3865">
        <f>I41</f>
        <v>0</v>
      </c>
      <c r="W41" s="3865"/>
      <c r="X41" s="1452"/>
      <c r="Y41" s="1471"/>
      <c r="Z41" s="1452"/>
      <c r="AA41" s="1452"/>
      <c r="AB41" s="1452"/>
      <c r="AC41" s="1452"/>
    </row>
    <row r="42" spans="1:29" ht="15.75" thickBot="1">
      <c r="A42" s="592" t="s">
        <v>2476</v>
      </c>
      <c r="B42" s="859"/>
      <c r="C42" s="2398" t="e">
        <f>R43</f>
        <v>#DIV/0!</v>
      </c>
      <c r="D42" s="2922" t="s">
        <v>2700</v>
      </c>
      <c r="E42" s="2399" t="e">
        <f>R42</f>
        <v>#DIV/0!</v>
      </c>
      <c r="F42" s="2923"/>
      <c r="G42" s="2398" t="e">
        <f>T42</f>
        <v>#DIV/0!</v>
      </c>
      <c r="H42" s="2923"/>
      <c r="I42" s="2399" t="e">
        <f>V42</f>
        <v>#DIV/0!</v>
      </c>
      <c r="J42" s="2923"/>
      <c r="K42" s="2931">
        <f>F42+H42+J42</f>
        <v>0</v>
      </c>
      <c r="L42" s="1980"/>
      <c r="M42" s="1981"/>
      <c r="N42" s="1970"/>
      <c r="O42" s="1981"/>
      <c r="P42" s="3737" t="str">
        <f>A42</f>
        <v>比较价格（元/平方米）</v>
      </c>
      <c r="Q42" s="3737"/>
      <c r="R42" s="3865" t="e">
        <f>IF(F1="售价",ROUND(PRODUCT(R41,AA7:AA40),0),ROUND(PRODUCT(R41,AA7:AA40),1))</f>
        <v>#DIV/0!</v>
      </c>
      <c r="S42" s="3865"/>
      <c r="T42" s="3865" t="e">
        <f>IF(F1="售价",ROUND(PRODUCT(T41,AB7:AB40),0),ROUND(PRODUCT(T41,AB7:AB40),1))</f>
        <v>#DIV/0!</v>
      </c>
      <c r="U42" s="3865"/>
      <c r="V42" s="3865" t="e">
        <f>IF(F1="售价",ROUND(PRODUCT(V41,AC7:AC40),0),ROUND(PRODUCT(V41,AC7:AC40),1))</f>
        <v>#DIV/0!</v>
      </c>
      <c r="W42" s="3865"/>
      <c r="X42" s="1452"/>
      <c r="Y42" s="1452"/>
      <c r="Z42" s="1452"/>
      <c r="AA42" s="1452"/>
      <c r="AB42" s="1452"/>
      <c r="AC42" s="1452"/>
    </row>
    <row r="43" spans="1:29" ht="15.75" thickBot="1">
      <c r="A43" s="596" t="s">
        <v>2635</v>
      </c>
      <c r="B43" s="597"/>
      <c r="C43" s="2400" t="e">
        <f>R43</f>
        <v>#DIV/0!</v>
      </c>
      <c r="D43" s="2400"/>
      <c r="E43" s="2400"/>
      <c r="F43" s="2400"/>
      <c r="G43" s="2400"/>
      <c r="H43" s="2400"/>
      <c r="I43" s="2400"/>
      <c r="J43" s="2400"/>
      <c r="K43" s="1497"/>
      <c r="L43" s="1980"/>
      <c r="M43" s="1981"/>
      <c r="N43" s="1981"/>
      <c r="O43" s="1981"/>
      <c r="P43" s="3774" t="str">
        <f>A43</f>
        <v>估价对象XX用房的比较价格（楼面单价，元/平方米）</v>
      </c>
      <c r="Q43" s="3775"/>
      <c r="R43" s="3864" t="e">
        <f>IF(F1="售价",ROUND(IF(D42="简单平均",AVERAGE(R42:V42),R42*F42+T42*H42+V42*J42),0),ROUND(IF(D42="简单平均",AVERAGE(R42:V42),R42*F42+T42*H42+V42*J42),1))</f>
        <v>#DIV/0!</v>
      </c>
      <c r="S43" s="3864"/>
      <c r="T43" s="3864"/>
      <c r="U43" s="3864"/>
      <c r="V43" s="3864"/>
      <c r="W43" s="3864"/>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20" t="s">
        <v>512</v>
      </c>
      <c r="B52" s="621"/>
      <c r="C52" s="2441" t="str">
        <f>YEAR(C7)&amp;"-"&amp;MONTH(C7)</f>
        <v>2022-7</v>
      </c>
      <c r="D52" s="2443">
        <f>EDATE(C52,-1)</f>
        <v>44713</v>
      </c>
      <c r="E52" s="2443">
        <f t="shared" ref="E52:O52" si="16">EDATE(D52,-1)</f>
        <v>44682</v>
      </c>
      <c r="F52" s="2443">
        <f t="shared" si="16"/>
        <v>44652</v>
      </c>
      <c r="G52" s="2443">
        <f t="shared" si="16"/>
        <v>44621</v>
      </c>
      <c r="H52" s="2443">
        <f t="shared" si="16"/>
        <v>44593</v>
      </c>
      <c r="I52" s="2443">
        <f t="shared" si="16"/>
        <v>44562</v>
      </c>
      <c r="J52" s="2443">
        <f t="shared" si="16"/>
        <v>44531</v>
      </c>
      <c r="K52" s="2443">
        <f t="shared" si="16"/>
        <v>44501</v>
      </c>
      <c r="L52" s="2443">
        <f t="shared" si="16"/>
        <v>44470</v>
      </c>
      <c r="M52" s="2443">
        <f t="shared" si="16"/>
        <v>44440</v>
      </c>
      <c r="N52" s="2443">
        <f t="shared" si="16"/>
        <v>44409</v>
      </c>
      <c r="O52" s="2443">
        <f t="shared" si="16"/>
        <v>44378</v>
      </c>
      <c r="P52" s="1995"/>
      <c r="Q52" s="1996"/>
      <c r="R52" s="1996"/>
      <c r="S52" s="1996"/>
      <c r="T52" s="1996"/>
      <c r="U52" s="1996"/>
      <c r="V52" s="1996"/>
      <c r="W52" s="1996"/>
      <c r="X52" s="1996"/>
      <c r="Y52" s="1996"/>
      <c r="Z52" s="1996"/>
      <c r="AA52" s="1996"/>
      <c r="AB52" s="1996"/>
      <c r="AC52" s="1996"/>
    </row>
    <row r="53" spans="1:29" s="1166"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2274</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2275</v>
      </c>
      <c r="C76" s="2364" t="s">
        <v>2276</v>
      </c>
      <c r="D76" s="2364" t="s">
        <v>2277</v>
      </c>
      <c r="E76" s="2364" t="s">
        <v>2278</v>
      </c>
      <c r="F76" s="2364" t="s">
        <v>2279</v>
      </c>
      <c r="G76" s="2364" t="s">
        <v>2280</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2273</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64770.31平方米。根据《建设工程规划许可证》[]、《出让合同》[]，估价对象规划建筑面积为225000.81平方米。</v>
      </c>
    </row>
    <row r="7" spans="1:4" ht="93.75">
      <c r="A7" s="2512" t="s">
        <v>2464</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2022年7月5日（评估专业人员勘察现场之日）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根据《国有土地使用证》[]，估价对象（分摊）出让国有建设用地使用权面积为64770.31平方米。根据《建设工程规划许可证》[]、《出让合同》[]，估价对象规划建筑面积为225000.81平方米。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2465</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IF(B37="元/平方米",C39,ROUND(B2*10000/D3,0))</f>
        <v>#DIV/0!</v>
      </c>
      <c r="C3" s="824" t="s">
        <v>778</v>
      </c>
      <c r="D3" s="823">
        <f>SUMIF('数据-汇总表'!$C19:$C33,D1,'数据-汇总表'!$E19:$E33)</f>
        <v>0</v>
      </c>
      <c r="E3" s="1717" t="s">
        <v>1868</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43" t="s">
        <v>780</v>
      </c>
      <c r="D4" s="3744"/>
      <c r="E4" s="3743" t="s">
        <v>781</v>
      </c>
      <c r="F4" s="3744"/>
      <c r="G4" s="3743" t="s">
        <v>782</v>
      </c>
      <c r="H4" s="3744"/>
      <c r="I4" s="3743" t="s">
        <v>783</v>
      </c>
      <c r="J4" s="3744"/>
      <c r="K4" s="491" t="s">
        <v>784</v>
      </c>
      <c r="L4" s="1969"/>
      <c r="M4" s="1970"/>
      <c r="N4" s="1970"/>
      <c r="O4" s="1970"/>
      <c r="P4" s="3745" t="s">
        <v>785</v>
      </c>
      <c r="Q4" s="3746"/>
      <c r="R4" s="3751" t="s">
        <v>781</v>
      </c>
      <c r="S4" s="3752"/>
      <c r="T4" s="3751" t="s">
        <v>782</v>
      </c>
      <c r="U4" s="3752"/>
      <c r="V4" s="3738" t="s">
        <v>783</v>
      </c>
      <c r="W4" s="3738"/>
      <c r="X4" s="1457"/>
      <c r="Y4" s="3751" t="s">
        <v>785</v>
      </c>
      <c r="Z4" s="3752"/>
      <c r="AA4" s="3740" t="s">
        <v>781</v>
      </c>
      <c r="AB4" s="3741" t="s">
        <v>782</v>
      </c>
      <c r="AC4" s="3740" t="s">
        <v>783</v>
      </c>
    </row>
    <row r="5" spans="1:29" ht="15">
      <c r="A5" s="492"/>
      <c r="B5" s="493"/>
      <c r="C5" s="3759" t="s">
        <v>2629</v>
      </c>
      <c r="D5" s="3760"/>
      <c r="E5" s="3759" t="s">
        <v>2630</v>
      </c>
      <c r="F5" s="3760"/>
      <c r="G5" s="3759" t="s">
        <v>2631</v>
      </c>
      <c r="H5" s="3760"/>
      <c r="I5" s="3759" t="s">
        <v>2632</v>
      </c>
      <c r="J5" s="3760"/>
      <c r="K5" s="491"/>
      <c r="L5" s="1969"/>
      <c r="M5" s="1970"/>
      <c r="N5" s="1970"/>
      <c r="O5" s="1970"/>
      <c r="P5" s="3747"/>
      <c r="Q5" s="3748"/>
      <c r="R5" s="3753"/>
      <c r="S5" s="3754"/>
      <c r="T5" s="3753"/>
      <c r="U5" s="3754"/>
      <c r="V5" s="3738"/>
      <c r="W5" s="3738"/>
      <c r="X5" s="1457"/>
      <c r="Y5" s="3753"/>
      <c r="Z5" s="3754"/>
      <c r="AA5" s="3741"/>
      <c r="AB5" s="3741"/>
      <c r="AC5" s="3741"/>
    </row>
    <row r="6" spans="1:29" ht="15.75" thickBot="1">
      <c r="A6" s="494"/>
      <c r="B6" s="495"/>
      <c r="C6" s="3757" t="s">
        <v>2633</v>
      </c>
      <c r="D6" s="3758"/>
      <c r="E6" s="3761" t="s">
        <v>2633</v>
      </c>
      <c r="F6" s="3762"/>
      <c r="G6" s="3757" t="s">
        <v>2633</v>
      </c>
      <c r="H6" s="3758"/>
      <c r="I6" s="3757" t="s">
        <v>2633</v>
      </c>
      <c r="J6" s="3758"/>
      <c r="K6" s="491" t="s">
        <v>511</v>
      </c>
      <c r="L6" s="1969"/>
      <c r="M6" s="1970"/>
      <c r="N6" s="1970"/>
      <c r="O6" s="1970"/>
      <c r="P6" s="3749"/>
      <c r="Q6" s="3750"/>
      <c r="R6" s="3753"/>
      <c r="S6" s="3754"/>
      <c r="T6" s="3755"/>
      <c r="U6" s="3756"/>
      <c r="V6" s="3738"/>
      <c r="W6" s="3738"/>
      <c r="X6" s="1457"/>
      <c r="Y6" s="3755"/>
      <c r="Z6" s="3756"/>
      <c r="AA6" s="3742"/>
      <c r="AB6" s="3742"/>
      <c r="AC6" s="3742"/>
    </row>
    <row r="7" spans="1:29" s="1166" customFormat="1" ht="15.75" thickBot="1">
      <c r="A7" s="2551"/>
      <c r="B7" s="2558" t="s">
        <v>512</v>
      </c>
      <c r="C7" s="496">
        <f>'数据-取费表'!B2</f>
        <v>44747</v>
      </c>
      <c r="D7" s="497">
        <v>100</v>
      </c>
      <c r="E7" s="498"/>
      <c r="F7" s="499">
        <f>SUMIF(48:48,YEAR(E7)&amp;"-"&amp;MONTH(E7),49:49)</f>
        <v>0</v>
      </c>
      <c r="G7" s="500"/>
      <c r="H7" s="497">
        <f>SUMIF(48:48,YEAR(G7)&amp;"-"&amp;MONTH(G7),49:49)</f>
        <v>0</v>
      </c>
      <c r="I7" s="500"/>
      <c r="J7" s="497">
        <f>SUMIF(48:48,YEAR(I7)&amp;"-"&amp;MONTH(I7),49:49)</f>
        <v>0</v>
      </c>
      <c r="K7" s="501"/>
      <c r="L7" s="1971"/>
      <c r="M7" s="1972"/>
      <c r="N7" s="1972"/>
      <c r="O7" s="1972"/>
      <c r="P7" s="3767" t="s">
        <v>513</v>
      </c>
      <c r="Q7" s="3769"/>
      <c r="R7" s="1458" t="s">
        <v>8</v>
      </c>
      <c r="S7" s="1459">
        <f t="shared" ref="S7:S14" si="0">F7</f>
        <v>0</v>
      </c>
      <c r="T7" s="1458" t="s">
        <v>8</v>
      </c>
      <c r="U7" s="1459">
        <f t="shared" ref="U7:U14" si="1">H7</f>
        <v>0</v>
      </c>
      <c r="V7" s="1458" t="s">
        <v>8</v>
      </c>
      <c r="W7" s="1459">
        <f t="shared" ref="W7:W14" si="2">J7</f>
        <v>0</v>
      </c>
      <c r="X7" s="1460"/>
      <c r="Y7" s="3767" t="s">
        <v>513</v>
      </c>
      <c r="Z7" s="3768"/>
      <c r="AA7" s="1461" t="e">
        <f>D7/F7</f>
        <v>#DIV/0!</v>
      </c>
      <c r="AB7" s="1461" t="e">
        <f>D7/H7</f>
        <v>#DIV/0!</v>
      </c>
      <c r="AC7" s="1461" t="e">
        <f>D7/J7</f>
        <v>#DIV/0!</v>
      </c>
    </row>
    <row r="8" spans="1:29" s="1166"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767" t="s">
        <v>516</v>
      </c>
      <c r="Q8" s="3768"/>
      <c r="R8" s="1458" t="s">
        <v>8</v>
      </c>
      <c r="S8" s="1459">
        <f t="shared" si="0"/>
        <v>0</v>
      </c>
      <c r="T8" s="1458" t="s">
        <v>8</v>
      </c>
      <c r="U8" s="1459">
        <f t="shared" si="1"/>
        <v>0</v>
      </c>
      <c r="V8" s="1458" t="s">
        <v>8</v>
      </c>
      <c r="W8" s="1459">
        <f t="shared" si="2"/>
        <v>0</v>
      </c>
      <c r="X8" s="1460"/>
      <c r="Y8" s="3767" t="s">
        <v>516</v>
      </c>
      <c r="Z8" s="3768"/>
      <c r="AA8" s="1461" t="e">
        <f t="shared" ref="AA8:AA36" si="3">D8/F8</f>
        <v>#DIV/0!</v>
      </c>
      <c r="AB8" s="1461" t="e">
        <f t="shared" ref="AB8:AB36" si="4">D8/H8</f>
        <v>#DIV/0!</v>
      </c>
      <c r="AC8" s="1461" t="e">
        <f t="shared" ref="AC8:AC36" si="5">D8/J8</f>
        <v>#DIV/0!</v>
      </c>
    </row>
    <row r="9" spans="1:29" s="1166" customFormat="1" ht="15">
      <c r="A9" s="2553"/>
      <c r="B9" s="2560" t="s">
        <v>2472</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737" t="s">
        <v>518</v>
      </c>
      <c r="Q9" s="1097" t="str">
        <f t="shared" ref="Q9:Q14" si="6">B9</f>
        <v>用途</v>
      </c>
      <c r="R9" s="1458" t="s">
        <v>8</v>
      </c>
      <c r="S9" s="1459">
        <f t="shared" si="0"/>
        <v>100</v>
      </c>
      <c r="T9" s="1458" t="s">
        <v>8</v>
      </c>
      <c r="U9" s="1459">
        <f t="shared" si="1"/>
        <v>100</v>
      </c>
      <c r="V9" s="1458" t="s">
        <v>8</v>
      </c>
      <c r="W9" s="1459">
        <f t="shared" si="2"/>
        <v>100</v>
      </c>
      <c r="X9" s="1460"/>
      <c r="Y9" s="3681" t="s">
        <v>519</v>
      </c>
      <c r="Z9" s="1096" t="str">
        <f t="shared" ref="Z9:Z14" si="7">Q9</f>
        <v>用途</v>
      </c>
      <c r="AA9" s="1461">
        <f t="shared" si="3"/>
        <v>1</v>
      </c>
      <c r="AB9" s="1461">
        <f t="shared" si="4"/>
        <v>1</v>
      </c>
      <c r="AC9" s="1461">
        <f t="shared" si="5"/>
        <v>1</v>
      </c>
    </row>
    <row r="10" spans="1:29" s="1247" customFormat="1" ht="27">
      <c r="A10" s="2554"/>
      <c r="B10" s="2559" t="s">
        <v>2473</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737"/>
      <c r="Q11" s="1097">
        <f t="shared" si="6"/>
        <v>111</v>
      </c>
      <c r="R11" s="1458" t="s">
        <v>8</v>
      </c>
      <c r="S11" s="1459">
        <f t="shared" si="0"/>
        <v>100</v>
      </c>
      <c r="T11" s="1458" t="s">
        <v>8</v>
      </c>
      <c r="U11" s="1459">
        <f t="shared" si="1"/>
        <v>100</v>
      </c>
      <c r="V11" s="1458" t="s">
        <v>8</v>
      </c>
      <c r="W11" s="1459">
        <f t="shared" si="2"/>
        <v>100</v>
      </c>
      <c r="X11" s="1460"/>
      <c r="Y11" s="3681"/>
      <c r="Z11" s="1096">
        <f t="shared" si="7"/>
        <v>111</v>
      </c>
      <c r="AA11" s="1461">
        <f t="shared" si="3"/>
        <v>1</v>
      </c>
      <c r="AB11" s="1461">
        <f t="shared" si="4"/>
        <v>1</v>
      </c>
      <c r="AC11" s="1461">
        <f t="shared" si="5"/>
        <v>1</v>
      </c>
    </row>
    <row r="12" spans="1:29" s="1166"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737"/>
      <c r="Q12" s="1097">
        <f t="shared" si="6"/>
        <v>111</v>
      </c>
      <c r="R12" s="1458" t="s">
        <v>8</v>
      </c>
      <c r="S12" s="1459">
        <f t="shared" si="0"/>
        <v>100</v>
      </c>
      <c r="T12" s="1458" t="s">
        <v>8</v>
      </c>
      <c r="U12" s="1459">
        <f t="shared" si="1"/>
        <v>100</v>
      </c>
      <c r="V12" s="1458" t="s">
        <v>8</v>
      </c>
      <c r="W12" s="1459">
        <f t="shared" si="2"/>
        <v>100</v>
      </c>
      <c r="X12" s="1460"/>
      <c r="Y12" s="3681"/>
      <c r="Z12" s="1096">
        <f t="shared" si="7"/>
        <v>111</v>
      </c>
      <c r="AA12" s="1461">
        <f>D12/F12</f>
        <v>1</v>
      </c>
      <c r="AB12" s="1461">
        <f>D12/H12</f>
        <v>1</v>
      </c>
      <c r="AC12" s="1461">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737"/>
      <c r="Q13" s="1097">
        <f t="shared" si="6"/>
        <v>111</v>
      </c>
      <c r="R13" s="1458" t="s">
        <v>8</v>
      </c>
      <c r="S13" s="1459">
        <f t="shared" si="0"/>
        <v>100</v>
      </c>
      <c r="T13" s="1458" t="s">
        <v>8</v>
      </c>
      <c r="U13" s="1459">
        <f t="shared" si="1"/>
        <v>100</v>
      </c>
      <c r="V13" s="1458" t="s">
        <v>8</v>
      </c>
      <c r="W13" s="1459">
        <f t="shared" si="2"/>
        <v>100</v>
      </c>
      <c r="X13" s="1460"/>
      <c r="Y13" s="3681"/>
      <c r="Z13" s="1096">
        <f t="shared" si="7"/>
        <v>111</v>
      </c>
      <c r="AA13" s="1461">
        <f t="shared" si="3"/>
        <v>1</v>
      </c>
      <c r="AB13" s="1461">
        <f t="shared" si="4"/>
        <v>1</v>
      </c>
      <c r="AC13" s="1461">
        <f t="shared" si="5"/>
        <v>1</v>
      </c>
    </row>
    <row r="14" spans="1:29" ht="85.5">
      <c r="A14" s="2549" t="s">
        <v>2470</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770" t="s">
        <v>523</v>
      </c>
      <c r="Q14" s="1462" t="str">
        <f t="shared" si="6"/>
        <v>交通便捷度</v>
      </c>
      <c r="R14" s="1463" t="s">
        <v>8</v>
      </c>
      <c r="S14" s="1464">
        <f t="shared" si="0"/>
        <v>100</v>
      </c>
      <c r="T14" s="1463" t="s">
        <v>8</v>
      </c>
      <c r="U14" s="1464">
        <f t="shared" si="1"/>
        <v>100</v>
      </c>
      <c r="V14" s="1463" t="s">
        <v>8</v>
      </c>
      <c r="W14" s="1464">
        <f t="shared" si="2"/>
        <v>100</v>
      </c>
      <c r="X14" s="1457"/>
      <c r="Y14" s="3770" t="s">
        <v>523</v>
      </c>
      <c r="Z14" s="1465" t="str">
        <f t="shared" si="7"/>
        <v>交通便捷度</v>
      </c>
      <c r="AA14" s="1466">
        <f t="shared" si="3"/>
        <v>1</v>
      </c>
      <c r="AB14" s="1466">
        <f t="shared" si="4"/>
        <v>1</v>
      </c>
      <c r="AC14" s="1466">
        <f t="shared" si="5"/>
        <v>1</v>
      </c>
    </row>
    <row r="15" spans="1:29" ht="15">
      <c r="A15" s="492"/>
      <c r="B15" s="895"/>
      <c r="C15" s="553"/>
      <c r="D15" s="532"/>
      <c r="E15" s="553"/>
      <c r="F15" s="534"/>
      <c r="G15" s="553"/>
      <c r="H15" s="536"/>
      <c r="I15" s="553"/>
      <c r="J15" s="532"/>
      <c r="K15" s="870"/>
      <c r="L15" s="1978"/>
      <c r="M15" s="1970"/>
      <c r="N15" s="1970"/>
      <c r="O15" s="1977"/>
      <c r="P15" s="3771"/>
      <c r="Q15" s="1462"/>
      <c r="R15" s="1463"/>
      <c r="S15" s="1464"/>
      <c r="T15" s="1463"/>
      <c r="U15" s="1464"/>
      <c r="V15" s="1463"/>
      <c r="W15" s="1464"/>
      <c r="X15" s="1457"/>
      <c r="Y15" s="3771"/>
      <c r="Z15" s="1465"/>
      <c r="AA15" s="1466">
        <v>1</v>
      </c>
      <c r="AB15" s="1466">
        <v>1</v>
      </c>
      <c r="AC15" s="1466">
        <v>1</v>
      </c>
    </row>
    <row r="16" spans="1:29" ht="42.75">
      <c r="A16" s="492"/>
      <c r="B16" s="2369"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771"/>
      <c r="Q16" s="1462" t="str">
        <f>B16</f>
        <v>公共配套设施</v>
      </c>
      <c r="R16" s="1463" t="s">
        <v>8</v>
      </c>
      <c r="S16" s="1464">
        <f>F16</f>
        <v>100</v>
      </c>
      <c r="T16" s="1463" t="s">
        <v>8</v>
      </c>
      <c r="U16" s="1464">
        <f>H16</f>
        <v>100</v>
      </c>
      <c r="V16" s="1463" t="s">
        <v>8</v>
      </c>
      <c r="W16" s="1464">
        <f>J16</f>
        <v>100</v>
      </c>
      <c r="X16" s="1457"/>
      <c r="Y16" s="3771"/>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0"/>
      <c r="L17" s="1978"/>
      <c r="M17" s="1970"/>
      <c r="N17" s="1970"/>
      <c r="O17" s="1977"/>
      <c r="P17" s="3771"/>
      <c r="Q17" s="1462"/>
      <c r="R17" s="1463"/>
      <c r="S17" s="1464"/>
      <c r="T17" s="1463"/>
      <c r="U17" s="1464"/>
      <c r="V17" s="1463"/>
      <c r="W17" s="1464"/>
      <c r="X17" s="1457"/>
      <c r="Y17" s="3771"/>
      <c r="Z17" s="1465"/>
      <c r="AA17" s="1466">
        <v>1</v>
      </c>
      <c r="AB17" s="1466">
        <v>1</v>
      </c>
      <c r="AC17" s="1466">
        <v>1</v>
      </c>
    </row>
    <row r="18" spans="1:29" ht="28.5">
      <c r="A18" s="492"/>
      <c r="B18" s="2357"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771"/>
      <c r="Q18" s="2351" t="str">
        <f>B18</f>
        <v>基础设施水平</v>
      </c>
      <c r="R18" s="1463" t="s">
        <v>8</v>
      </c>
      <c r="S18" s="1464">
        <f>F18</f>
        <v>100</v>
      </c>
      <c r="T18" s="1463" t="s">
        <v>8</v>
      </c>
      <c r="U18" s="1464">
        <f>H18</f>
        <v>100</v>
      </c>
      <c r="V18" s="1463" t="s">
        <v>8</v>
      </c>
      <c r="W18" s="1464">
        <f>J18</f>
        <v>100</v>
      </c>
      <c r="X18" s="2353"/>
      <c r="Y18" s="3771"/>
      <c r="Z18" s="2352"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8"/>
      <c r="L19" s="1978"/>
      <c r="M19" s="1970"/>
      <c r="N19" s="1970"/>
      <c r="O19" s="1977"/>
      <c r="P19" s="3771"/>
      <c r="Q19" s="2351"/>
      <c r="R19" s="1463"/>
      <c r="S19" s="1464"/>
      <c r="T19" s="1463"/>
      <c r="U19" s="1464"/>
      <c r="V19" s="1463"/>
      <c r="W19" s="1464"/>
      <c r="X19" s="2353"/>
      <c r="Y19" s="3771"/>
      <c r="Z19" s="2352"/>
      <c r="AA19" s="1466">
        <v>1</v>
      </c>
      <c r="AB19" s="1466">
        <v>1</v>
      </c>
      <c r="AC19" s="1466">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771"/>
      <c r="Q20" s="1462" t="str">
        <f>B20</f>
        <v>自然及人文环境</v>
      </c>
      <c r="R20" s="1463" t="s">
        <v>8</v>
      </c>
      <c r="S20" s="1464">
        <f>F20</f>
        <v>100</v>
      </c>
      <c r="T20" s="1463" t="s">
        <v>8</v>
      </c>
      <c r="U20" s="1464">
        <f>H20</f>
        <v>100</v>
      </c>
      <c r="V20" s="1463" t="s">
        <v>8</v>
      </c>
      <c r="W20" s="1464">
        <f>J20</f>
        <v>100</v>
      </c>
      <c r="X20" s="1457"/>
      <c r="Y20" s="3771"/>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0"/>
      <c r="L21" s="1978"/>
      <c r="M21" s="1970"/>
      <c r="N21" s="1970"/>
      <c r="O21" s="1977"/>
      <c r="P21" s="3771"/>
      <c r="Q21" s="1462"/>
      <c r="R21" s="1463"/>
      <c r="S21" s="1464"/>
      <c r="T21" s="1463"/>
      <c r="U21" s="1464"/>
      <c r="V21" s="1463"/>
      <c r="W21" s="1464"/>
      <c r="X21" s="1457"/>
      <c r="Y21" s="3771"/>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771"/>
      <c r="Q22" s="1462" t="str">
        <f>B22</f>
        <v>楼层</v>
      </c>
      <c r="R22" s="1463" t="s">
        <v>8</v>
      </c>
      <c r="S22" s="1464">
        <f>F22</f>
        <v>100</v>
      </c>
      <c r="T22" s="1463" t="s">
        <v>8</v>
      </c>
      <c r="U22" s="1464">
        <f>H22</f>
        <v>100</v>
      </c>
      <c r="V22" s="1463" t="s">
        <v>8</v>
      </c>
      <c r="W22" s="1464">
        <f>J22</f>
        <v>100</v>
      </c>
      <c r="X22" s="1457"/>
      <c r="Y22" s="3771"/>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771"/>
      <c r="Q23" s="1462">
        <f>B23</f>
        <v>111</v>
      </c>
      <c r="R23" s="1463" t="s">
        <v>8</v>
      </c>
      <c r="S23" s="1464">
        <f>F23</f>
        <v>100</v>
      </c>
      <c r="T23" s="1463" t="s">
        <v>8</v>
      </c>
      <c r="U23" s="1464">
        <f>H23</f>
        <v>100</v>
      </c>
      <c r="V23" s="1463" t="s">
        <v>8</v>
      </c>
      <c r="W23" s="1464">
        <f>J23</f>
        <v>100</v>
      </c>
      <c r="X23" s="1457"/>
      <c r="Y23" s="3771"/>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771"/>
      <c r="Q24" s="1462">
        <f t="shared" ref="Q24:Q36" si="11">B24</f>
        <v>111</v>
      </c>
      <c r="R24" s="1463" t="s">
        <v>8</v>
      </c>
      <c r="S24" s="1464">
        <f>F24</f>
        <v>100</v>
      </c>
      <c r="T24" s="1463" t="s">
        <v>8</v>
      </c>
      <c r="U24" s="1464">
        <f>H24</f>
        <v>100</v>
      </c>
      <c r="V24" s="1463" t="s">
        <v>8</v>
      </c>
      <c r="W24" s="1464">
        <f>J24</f>
        <v>100</v>
      </c>
      <c r="X24" s="1457"/>
      <c r="Y24" s="3771"/>
      <c r="Z24" s="1465">
        <f>Q24</f>
        <v>111</v>
      </c>
      <c r="AA24" s="1466">
        <f t="shared" si="3"/>
        <v>1</v>
      </c>
      <c r="AB24" s="1466">
        <f t="shared" si="4"/>
        <v>1</v>
      </c>
      <c r="AC24" s="1466">
        <f t="shared" si="5"/>
        <v>1</v>
      </c>
    </row>
    <row r="25" spans="1:29" s="1166"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771"/>
      <c r="Q25" s="1097">
        <f t="shared" si="11"/>
        <v>111</v>
      </c>
      <c r="R25" s="1458" t="s">
        <v>8</v>
      </c>
      <c r="S25" s="1459">
        <f>F25</f>
        <v>100</v>
      </c>
      <c r="T25" s="1458" t="s">
        <v>8</v>
      </c>
      <c r="U25" s="1459">
        <f>H25</f>
        <v>100</v>
      </c>
      <c r="V25" s="1458" t="s">
        <v>8</v>
      </c>
      <c r="W25" s="1459">
        <f>J25</f>
        <v>100</v>
      </c>
      <c r="X25" s="1460"/>
      <c r="Y25" s="3771"/>
      <c r="Z25" s="1096">
        <f>Q25</f>
        <v>111</v>
      </c>
      <c r="AA25" s="1466">
        <f>D25/F25</f>
        <v>1</v>
      </c>
      <c r="AB25" s="1466">
        <f>D25/H25</f>
        <v>1</v>
      </c>
      <c r="AC25" s="1466">
        <f>D25/J25</f>
        <v>1</v>
      </c>
    </row>
    <row r="26" spans="1:29" ht="15">
      <c r="A26" s="2546" t="s">
        <v>2471</v>
      </c>
      <c r="B26" s="168" t="s">
        <v>788</v>
      </c>
      <c r="C26" s="899">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772"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773"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773"/>
      <c r="Q27" s="1491" t="str">
        <f t="shared" si="11"/>
        <v>项目停车位配比</v>
      </c>
      <c r="R27" s="1467" t="s">
        <v>8</v>
      </c>
      <c r="S27" s="1468">
        <f t="shared" si="12"/>
        <v>100</v>
      </c>
      <c r="T27" s="1467" t="s">
        <v>8</v>
      </c>
      <c r="U27" s="1468">
        <f t="shared" si="13"/>
        <v>100</v>
      </c>
      <c r="V27" s="1467" t="s">
        <v>8</v>
      </c>
      <c r="W27" s="1468">
        <f t="shared" si="14"/>
        <v>100</v>
      </c>
      <c r="X27" s="1469"/>
      <c r="Y27" s="3773"/>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773"/>
      <c r="Q28" s="1462" t="str">
        <f t="shared" si="11"/>
        <v>公共部分装修</v>
      </c>
      <c r="R28" s="1463" t="s">
        <v>8</v>
      </c>
      <c r="S28" s="1464">
        <f t="shared" si="12"/>
        <v>100</v>
      </c>
      <c r="T28" s="1463" t="s">
        <v>8</v>
      </c>
      <c r="U28" s="1464">
        <f t="shared" si="13"/>
        <v>100</v>
      </c>
      <c r="V28" s="1463" t="s">
        <v>8</v>
      </c>
      <c r="W28" s="1464">
        <f t="shared" si="14"/>
        <v>100</v>
      </c>
      <c r="X28" s="1457"/>
      <c r="Y28" s="3773"/>
      <c r="Z28" s="1465" t="str">
        <f t="shared" si="15"/>
        <v>公共部分装修</v>
      </c>
      <c r="AA28" s="1466">
        <f t="shared" si="3"/>
        <v>1</v>
      </c>
      <c r="AB28" s="1466">
        <f t="shared" si="4"/>
        <v>1</v>
      </c>
      <c r="AC28" s="1466">
        <f t="shared" si="5"/>
        <v>1</v>
      </c>
    </row>
    <row r="29" spans="1:29" ht="15">
      <c r="A29" s="902"/>
      <c r="B29" s="559" t="s">
        <v>791</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78"/>
      <c r="M29" s="1970"/>
      <c r="N29" s="1970"/>
      <c r="O29" s="1977"/>
      <c r="P29" s="3773"/>
      <c r="Q29" s="1462" t="str">
        <f t="shared" si="11"/>
        <v>成新率</v>
      </c>
      <c r="R29" s="1463" t="s">
        <v>8</v>
      </c>
      <c r="S29" s="1464" t="e">
        <f t="shared" si="12"/>
        <v>#N/A</v>
      </c>
      <c r="T29" s="1463" t="s">
        <v>8</v>
      </c>
      <c r="U29" s="1464" t="e">
        <f t="shared" si="13"/>
        <v>#N/A</v>
      </c>
      <c r="V29" s="1463" t="s">
        <v>8</v>
      </c>
      <c r="W29" s="1464" t="e">
        <f t="shared" si="14"/>
        <v>#N/A</v>
      </c>
      <c r="X29" s="1457"/>
      <c r="Y29" s="3773"/>
      <c r="Z29" s="1465" t="str">
        <f t="shared" si="15"/>
        <v>成新率</v>
      </c>
      <c r="AA29" s="1466" t="e">
        <f t="shared" si="3"/>
        <v>#N/A</v>
      </c>
      <c r="AB29" s="1466" t="e">
        <f t="shared" si="4"/>
        <v>#N/A</v>
      </c>
      <c r="AC29" s="1466" t="e">
        <f t="shared" si="5"/>
        <v>#N/A</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773"/>
      <c r="Q30" s="1462" t="str">
        <f t="shared" si="11"/>
        <v>物业等级</v>
      </c>
      <c r="R30" s="1463" t="s">
        <v>8</v>
      </c>
      <c r="S30" s="1464">
        <f t="shared" si="12"/>
        <v>100</v>
      </c>
      <c r="T30" s="1463" t="s">
        <v>8</v>
      </c>
      <c r="U30" s="1464">
        <f t="shared" si="13"/>
        <v>100</v>
      </c>
      <c r="V30" s="1463" t="s">
        <v>8</v>
      </c>
      <c r="W30" s="1464">
        <f t="shared" si="14"/>
        <v>100</v>
      </c>
      <c r="X30" s="1457"/>
      <c r="Y30" s="3773"/>
      <c r="Z30" s="1465" t="str">
        <f t="shared" si="15"/>
        <v>物业等级</v>
      </c>
      <c r="AA30" s="1466">
        <f t="shared" si="3"/>
        <v>1</v>
      </c>
      <c r="AB30" s="1466">
        <f t="shared" si="4"/>
        <v>1</v>
      </c>
      <c r="AC30" s="1466">
        <f t="shared" si="5"/>
        <v>1</v>
      </c>
    </row>
    <row r="31" spans="1:29" s="1166" customFormat="1" ht="15">
      <c r="A31" s="904"/>
      <c r="B31" s="559" t="s">
        <v>793</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71"/>
      <c r="M31" s="1972"/>
      <c r="N31" s="1972"/>
      <c r="O31" s="1973"/>
      <c r="P31" s="3773"/>
      <c r="Q31" s="1097" t="str">
        <f t="shared" si="11"/>
        <v>停车位面积</v>
      </c>
      <c r="R31" s="1458" t="s">
        <v>8</v>
      </c>
      <c r="S31" s="1459" t="e">
        <f t="shared" si="12"/>
        <v>#N/A</v>
      </c>
      <c r="T31" s="1458" t="s">
        <v>8</v>
      </c>
      <c r="U31" s="1459" t="e">
        <f t="shared" si="13"/>
        <v>#N/A</v>
      </c>
      <c r="V31" s="1458" t="s">
        <v>8</v>
      </c>
      <c r="W31" s="1459" t="e">
        <f t="shared" si="14"/>
        <v>#N/A</v>
      </c>
      <c r="X31" s="1460"/>
      <c r="Y31" s="3773"/>
      <c r="Z31" s="1096" t="str">
        <f t="shared" si="15"/>
        <v>停车位面积</v>
      </c>
      <c r="AA31" s="1461" t="e">
        <f t="shared" si="3"/>
        <v>#N/A</v>
      </c>
      <c r="AB31" s="1461" t="e">
        <f t="shared" si="4"/>
        <v>#N/A</v>
      </c>
      <c r="AC31" s="1461" t="e">
        <f t="shared" si="5"/>
        <v>#N/A</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773" t="s">
        <v>533</v>
      </c>
      <c r="Q32" s="1462" t="str">
        <f t="shared" si="11"/>
        <v>车位类型</v>
      </c>
      <c r="R32" s="1463" t="s">
        <v>8</v>
      </c>
      <c r="S32" s="1464">
        <f t="shared" si="12"/>
        <v>100</v>
      </c>
      <c r="T32" s="1463" t="s">
        <v>8</v>
      </c>
      <c r="U32" s="1464">
        <f t="shared" si="13"/>
        <v>100</v>
      </c>
      <c r="V32" s="1463" t="s">
        <v>8</v>
      </c>
      <c r="W32" s="1464">
        <f t="shared" si="14"/>
        <v>100</v>
      </c>
      <c r="X32" s="1457"/>
      <c r="Y32" s="3773"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773"/>
      <c r="Q33" s="1462" t="str">
        <f t="shared" si="11"/>
        <v>是否直接入户</v>
      </c>
      <c r="R33" s="1463" t="s">
        <v>8</v>
      </c>
      <c r="S33" s="1464">
        <f t="shared" si="12"/>
        <v>100</v>
      </c>
      <c r="T33" s="1463" t="s">
        <v>8</v>
      </c>
      <c r="U33" s="1464">
        <f t="shared" si="13"/>
        <v>100</v>
      </c>
      <c r="V33" s="1463" t="s">
        <v>8</v>
      </c>
      <c r="W33" s="1464">
        <f t="shared" si="14"/>
        <v>100</v>
      </c>
      <c r="X33" s="1457"/>
      <c r="Y33" s="3773"/>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773"/>
      <c r="Q34" s="1462">
        <f t="shared" si="11"/>
        <v>111</v>
      </c>
      <c r="R34" s="1463" t="s">
        <v>8</v>
      </c>
      <c r="S34" s="1464">
        <f t="shared" si="12"/>
        <v>100</v>
      </c>
      <c r="T34" s="1463" t="s">
        <v>8</v>
      </c>
      <c r="U34" s="1464">
        <f t="shared" si="13"/>
        <v>100</v>
      </c>
      <c r="V34" s="1463" t="s">
        <v>8</v>
      </c>
      <c r="W34" s="1464">
        <f t="shared" si="14"/>
        <v>100</v>
      </c>
      <c r="X34" s="1457"/>
      <c r="Y34" s="3773"/>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773"/>
      <c r="Q35" s="1491">
        <f t="shared" si="11"/>
        <v>111</v>
      </c>
      <c r="R35" s="1467" t="s">
        <v>8</v>
      </c>
      <c r="S35" s="1468">
        <f t="shared" si="12"/>
        <v>100</v>
      </c>
      <c r="T35" s="1467" t="s">
        <v>8</v>
      </c>
      <c r="U35" s="1468">
        <f t="shared" si="13"/>
        <v>100</v>
      </c>
      <c r="V35" s="1467" t="s">
        <v>8</v>
      </c>
      <c r="W35" s="1468">
        <f t="shared" si="14"/>
        <v>100</v>
      </c>
      <c r="X35" s="1469"/>
      <c r="Y35" s="3773"/>
      <c r="Z35" s="1470">
        <f t="shared" si="15"/>
        <v>111</v>
      </c>
      <c r="AA35" s="1466">
        <f t="shared" si="3"/>
        <v>1</v>
      </c>
      <c r="AB35" s="1466">
        <f t="shared" si="4"/>
        <v>1</v>
      </c>
      <c r="AC35" s="1466">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773"/>
      <c r="Q36" s="1462">
        <f t="shared" si="11"/>
        <v>111</v>
      </c>
      <c r="R36" s="1463" t="s">
        <v>8</v>
      </c>
      <c r="S36" s="1464">
        <f t="shared" si="12"/>
        <v>100</v>
      </c>
      <c r="T36" s="1463" t="s">
        <v>8</v>
      </c>
      <c r="U36" s="1464">
        <f t="shared" si="13"/>
        <v>100</v>
      </c>
      <c r="V36" s="1463" t="s">
        <v>8</v>
      </c>
      <c r="W36" s="1464">
        <f t="shared" si="14"/>
        <v>100</v>
      </c>
      <c r="X36" s="1457"/>
      <c r="Y36" s="3773"/>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737" t="str">
        <f>A37</f>
        <v>成交单价</v>
      </c>
      <c r="Q37" s="3737"/>
      <c r="R37" s="3865">
        <f>E37</f>
        <v>0</v>
      </c>
      <c r="S37" s="3865"/>
      <c r="T37" s="3865">
        <f>G37</f>
        <v>0</v>
      </c>
      <c r="U37" s="3865"/>
      <c r="V37" s="3865">
        <f>I37</f>
        <v>0</v>
      </c>
      <c r="W37" s="3865"/>
      <c r="X37" s="1452"/>
      <c r="Y37" s="1471"/>
      <c r="Z37" s="1452"/>
      <c r="AA37" s="1452"/>
      <c r="AB37" s="1452"/>
      <c r="AC37" s="1452"/>
    </row>
    <row r="38" spans="1:29" ht="15.75" thickBot="1">
      <c r="A38" s="592" t="s">
        <v>2476</v>
      </c>
      <c r="B38" s="859"/>
      <c r="C38" s="2398" t="e">
        <f>R39</f>
        <v>#DIV/0!</v>
      </c>
      <c r="D38" s="2922" t="s">
        <v>2700</v>
      </c>
      <c r="E38" s="2399" t="e">
        <f>R38</f>
        <v>#DIV/0!</v>
      </c>
      <c r="F38" s="2923"/>
      <c r="G38" s="2398" t="e">
        <f>T38</f>
        <v>#DIV/0!</v>
      </c>
      <c r="H38" s="2923"/>
      <c r="I38" s="2399" t="e">
        <f>V38</f>
        <v>#DIV/0!</v>
      </c>
      <c r="J38" s="2923"/>
      <c r="K38" s="2931">
        <f>F38+H38+J38</f>
        <v>0</v>
      </c>
      <c r="L38" s="1980"/>
      <c r="M38" s="1981"/>
      <c r="N38" s="1981"/>
      <c r="O38" s="1981"/>
      <c r="P38" s="3737" t="str">
        <f>A38</f>
        <v>比较价格（元/平方米）</v>
      </c>
      <c r="Q38" s="3737"/>
      <c r="R38" s="3865" t="e">
        <f>IF(F1="售价",ROUND(PRODUCT(R37,AA7:AA36),0),ROUND(PRODUCT(R37,AA7:AA36),1))</f>
        <v>#DIV/0!</v>
      </c>
      <c r="S38" s="3865"/>
      <c r="T38" s="3865" t="e">
        <f>IF(F1="售价",ROUND(PRODUCT(T37,AB7:AB36),0),ROUND(PRODUCT(T37,AB7:AB36),1))</f>
        <v>#DIV/0!</v>
      </c>
      <c r="U38" s="3865"/>
      <c r="V38" s="3865" t="e">
        <f>IF(F1="售价",ROUND(PRODUCT(V37,AC7:AC36),0),ROUND(PRODUCT(V37,AC7:AC36),1))</f>
        <v>#DIV/0!</v>
      </c>
      <c r="W38" s="3865"/>
      <c r="X38" s="1452"/>
      <c r="Y38" s="1452"/>
      <c r="Z38" s="1452"/>
      <c r="AA38" s="1452"/>
      <c r="AB38" s="1452"/>
      <c r="AC38" s="1452"/>
    </row>
    <row r="39" spans="1:29" ht="15.75" thickBot="1">
      <c r="A39" s="596" t="s">
        <v>2635</v>
      </c>
      <c r="B39" s="597"/>
      <c r="C39" s="2400" t="e">
        <f>R39</f>
        <v>#DIV/0!</v>
      </c>
      <c r="D39" s="2400"/>
      <c r="E39" s="2400"/>
      <c r="F39" s="2400"/>
      <c r="G39" s="2400"/>
      <c r="H39" s="2400"/>
      <c r="I39" s="2400"/>
      <c r="J39" s="2400"/>
      <c r="K39" s="1497"/>
      <c r="L39" s="1980"/>
      <c r="M39" s="1981"/>
      <c r="N39" s="1981"/>
      <c r="O39" s="1981"/>
      <c r="P39" s="3774" t="str">
        <f>A39</f>
        <v>估价对象XX用房的比较价格（楼面单价，元/平方米）</v>
      </c>
      <c r="Q39" s="3775"/>
      <c r="R39" s="3864" t="e">
        <f>IF(F1="售价",ROUND(IF(D38="简单平均",AVERAGE(R38:W38),R38*F38+T38*H38+V38*J38),0),ROUND(IF(D38="简单平均",AVERAGE(R38:V38),R38*F38+T38*H38+V38*J38),1))</f>
        <v>#DIV/0!</v>
      </c>
      <c r="S39" s="3864"/>
      <c r="T39" s="3864"/>
      <c r="U39" s="3864"/>
      <c r="V39" s="3864"/>
      <c r="W39" s="3864"/>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20" t="s">
        <v>512</v>
      </c>
      <c r="B48" s="621"/>
      <c r="C48" s="2441" t="str">
        <f>YEAR(C7)&amp;"-"&amp;MONTH(C7)</f>
        <v>2022-7</v>
      </c>
      <c r="D48" s="2443">
        <f>EDATE(C48,-1)</f>
        <v>44713</v>
      </c>
      <c r="E48" s="2443">
        <f t="shared" ref="E48:O48" si="16">EDATE(D48,-1)</f>
        <v>44682</v>
      </c>
      <c r="F48" s="2443">
        <f t="shared" si="16"/>
        <v>44652</v>
      </c>
      <c r="G48" s="2443">
        <f t="shared" si="16"/>
        <v>44621</v>
      </c>
      <c r="H48" s="2443">
        <f t="shared" si="16"/>
        <v>44593</v>
      </c>
      <c r="I48" s="2443">
        <f t="shared" si="16"/>
        <v>44562</v>
      </c>
      <c r="J48" s="2443">
        <f t="shared" si="16"/>
        <v>44531</v>
      </c>
      <c r="K48" s="2443">
        <f t="shared" si="16"/>
        <v>44501</v>
      </c>
      <c r="L48" s="2443">
        <f t="shared" si="16"/>
        <v>44470</v>
      </c>
      <c r="M48" s="2443">
        <f t="shared" si="16"/>
        <v>44440</v>
      </c>
      <c r="N48" s="2443">
        <f t="shared" si="16"/>
        <v>44409</v>
      </c>
      <c r="O48" s="2443">
        <f t="shared" si="16"/>
        <v>44378</v>
      </c>
      <c r="P48" s="1995"/>
      <c r="Q48" s="1996"/>
      <c r="R48" s="1996"/>
      <c r="S48" s="1996"/>
      <c r="T48" s="1996"/>
      <c r="U48" s="1996"/>
      <c r="V48" s="1996"/>
      <c r="W48" s="1996"/>
      <c r="X48" s="1996"/>
      <c r="Y48" s="1996"/>
      <c r="Z48" s="1996"/>
      <c r="AA48" s="1996"/>
      <c r="AB48" s="1996"/>
      <c r="AC48" s="1996"/>
    </row>
    <row r="49" spans="1:29" s="1166"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2274</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2275</v>
      </c>
      <c r="C67" s="2364" t="s">
        <v>2276</v>
      </c>
      <c r="D67" s="2364" t="s">
        <v>2277</v>
      </c>
      <c r="E67" s="2364" t="s">
        <v>2278</v>
      </c>
      <c r="F67" s="2364" t="s">
        <v>2279</v>
      </c>
      <c r="G67" s="2364" t="s">
        <v>2280</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43" t="s">
        <v>780</v>
      </c>
      <c r="D4" s="3744"/>
      <c r="E4" s="3778" t="s">
        <v>781</v>
      </c>
      <c r="F4" s="3779"/>
      <c r="G4" s="3743" t="s">
        <v>782</v>
      </c>
      <c r="H4" s="3744"/>
      <c r="I4" s="3743" t="s">
        <v>783</v>
      </c>
      <c r="J4" s="3744"/>
      <c r="K4" s="491" t="s">
        <v>784</v>
      </c>
      <c r="L4" s="1969"/>
      <c r="M4" s="1970"/>
      <c r="N4" s="1970"/>
      <c r="O4" s="1970"/>
      <c r="P4" s="3745" t="s">
        <v>785</v>
      </c>
      <c r="Q4" s="3746"/>
      <c r="R4" s="3751" t="s">
        <v>781</v>
      </c>
      <c r="S4" s="3752"/>
      <c r="T4" s="3751" t="s">
        <v>782</v>
      </c>
      <c r="U4" s="3752"/>
      <c r="V4" s="3738" t="s">
        <v>783</v>
      </c>
      <c r="W4" s="3738"/>
      <c r="X4" s="1457"/>
      <c r="Y4" s="3751" t="s">
        <v>785</v>
      </c>
      <c r="Z4" s="3752"/>
      <c r="AA4" s="3740" t="s">
        <v>781</v>
      </c>
      <c r="AB4" s="3741" t="s">
        <v>782</v>
      </c>
      <c r="AC4" s="3740" t="s">
        <v>783</v>
      </c>
    </row>
    <row r="5" spans="1:29" ht="15">
      <c r="A5" s="492"/>
      <c r="B5" s="493"/>
      <c r="C5" s="3759" t="s">
        <v>2629</v>
      </c>
      <c r="D5" s="3760"/>
      <c r="E5" s="3780" t="s">
        <v>2630</v>
      </c>
      <c r="F5" s="3781"/>
      <c r="G5" s="3759" t="s">
        <v>2631</v>
      </c>
      <c r="H5" s="3760"/>
      <c r="I5" s="3759" t="s">
        <v>2632</v>
      </c>
      <c r="J5" s="3760"/>
      <c r="K5" s="491"/>
      <c r="L5" s="1969"/>
      <c r="M5" s="1970"/>
      <c r="N5" s="1970"/>
      <c r="O5" s="1970"/>
      <c r="P5" s="3747"/>
      <c r="Q5" s="3748"/>
      <c r="R5" s="3753"/>
      <c r="S5" s="3754"/>
      <c r="T5" s="3753"/>
      <c r="U5" s="3754"/>
      <c r="V5" s="3738"/>
      <c r="W5" s="3738"/>
      <c r="X5" s="1457"/>
      <c r="Y5" s="3753"/>
      <c r="Z5" s="3754"/>
      <c r="AA5" s="3741"/>
      <c r="AB5" s="3741"/>
      <c r="AC5" s="3741"/>
    </row>
    <row r="6" spans="1:29" ht="15.75" thickBot="1">
      <c r="A6" s="494"/>
      <c r="B6" s="495"/>
      <c r="C6" s="3757" t="s">
        <v>2633</v>
      </c>
      <c r="D6" s="3758"/>
      <c r="E6" s="3776" t="s">
        <v>2633</v>
      </c>
      <c r="F6" s="3777"/>
      <c r="G6" s="3757" t="s">
        <v>2633</v>
      </c>
      <c r="H6" s="3758"/>
      <c r="I6" s="3757" t="s">
        <v>2633</v>
      </c>
      <c r="J6" s="3758"/>
      <c r="K6" s="491" t="s">
        <v>511</v>
      </c>
      <c r="L6" s="1969"/>
      <c r="M6" s="1970"/>
      <c r="N6" s="1970"/>
      <c r="O6" s="1970"/>
      <c r="P6" s="3749"/>
      <c r="Q6" s="3750"/>
      <c r="R6" s="3753"/>
      <c r="S6" s="3754"/>
      <c r="T6" s="3755"/>
      <c r="U6" s="3756"/>
      <c r="V6" s="3738"/>
      <c r="W6" s="3738"/>
      <c r="X6" s="1457"/>
      <c r="Y6" s="3755"/>
      <c r="Z6" s="3756"/>
      <c r="AA6" s="3742"/>
      <c r="AB6" s="3742"/>
      <c r="AC6" s="3742"/>
    </row>
    <row r="7" spans="1:29" s="1166" customFormat="1" ht="15.75" thickBot="1">
      <c r="A7" s="2551"/>
      <c r="B7" s="2558" t="s">
        <v>512</v>
      </c>
      <c r="C7" s="496">
        <f>'数据-取费表'!B2</f>
        <v>44747</v>
      </c>
      <c r="D7" s="497">
        <v>100</v>
      </c>
      <c r="E7" s="498"/>
      <c r="F7" s="499">
        <f>SUMIF(46:46,YEAR(E7)&amp;"-"&amp;MONTH(E7),47:47)</f>
        <v>0</v>
      </c>
      <c r="G7" s="500"/>
      <c r="H7" s="497">
        <f>SUMIF(46:46,YEAR(G7)&amp;"-"&amp;MONTH(G7),47:47)</f>
        <v>0</v>
      </c>
      <c r="I7" s="500"/>
      <c r="J7" s="497">
        <f>SUMIF(46:46,YEAR(I7)&amp;"-"&amp;MONTH(I7),47:47)</f>
        <v>0</v>
      </c>
      <c r="K7" s="501"/>
      <c r="L7" s="1971"/>
      <c r="M7" s="1972"/>
      <c r="N7" s="1972"/>
      <c r="O7" s="1972"/>
      <c r="P7" s="3767" t="s">
        <v>513</v>
      </c>
      <c r="Q7" s="3769"/>
      <c r="R7" s="1458" t="s">
        <v>8</v>
      </c>
      <c r="S7" s="1459">
        <f t="shared" ref="S7:S14" si="0">F7</f>
        <v>0</v>
      </c>
      <c r="T7" s="1458" t="s">
        <v>8</v>
      </c>
      <c r="U7" s="1459">
        <f t="shared" ref="U7:U14" si="1">H7</f>
        <v>0</v>
      </c>
      <c r="V7" s="1458" t="s">
        <v>8</v>
      </c>
      <c r="W7" s="1459">
        <f t="shared" ref="W7:W14" si="2">J7</f>
        <v>0</v>
      </c>
      <c r="X7" s="1460"/>
      <c r="Y7" s="3767" t="s">
        <v>513</v>
      </c>
      <c r="Z7" s="3768"/>
      <c r="AA7" s="1461" t="e">
        <f>D7/F7</f>
        <v>#DIV/0!</v>
      </c>
      <c r="AB7" s="1461" t="e">
        <f>D7/H7</f>
        <v>#DIV/0!</v>
      </c>
      <c r="AC7" s="1461" t="e">
        <f>D7/J7</f>
        <v>#DIV/0!</v>
      </c>
    </row>
    <row r="8" spans="1:29" s="1166"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767" t="s">
        <v>516</v>
      </c>
      <c r="Q8" s="3768"/>
      <c r="R8" s="1458" t="s">
        <v>8</v>
      </c>
      <c r="S8" s="1459">
        <f t="shared" si="0"/>
        <v>0</v>
      </c>
      <c r="T8" s="1458" t="s">
        <v>8</v>
      </c>
      <c r="U8" s="1459">
        <f t="shared" si="1"/>
        <v>0</v>
      </c>
      <c r="V8" s="1458" t="s">
        <v>8</v>
      </c>
      <c r="W8" s="1459">
        <f t="shared" si="2"/>
        <v>0</v>
      </c>
      <c r="X8" s="1460"/>
      <c r="Y8" s="3767" t="s">
        <v>516</v>
      </c>
      <c r="Z8" s="3768"/>
      <c r="AA8" s="1461" t="e">
        <f t="shared" ref="AA8:AA34" si="3">D8/F8</f>
        <v>#DIV/0!</v>
      </c>
      <c r="AB8" s="1461" t="e">
        <f t="shared" ref="AB8:AB34" si="4">D8/H8</f>
        <v>#DIV/0!</v>
      </c>
      <c r="AC8" s="1461" t="e">
        <f t="shared" ref="AC8:AC34" si="5">D8/J8</f>
        <v>#DIV/0!</v>
      </c>
    </row>
    <row r="9" spans="1:29" s="1166" customFormat="1" ht="15">
      <c r="A9" s="2553"/>
      <c r="B9" s="2560" t="s">
        <v>2472</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737" t="s">
        <v>518</v>
      </c>
      <c r="Q9" s="1097" t="str">
        <f t="shared" ref="Q9:Q14" si="6">B9</f>
        <v>用途</v>
      </c>
      <c r="R9" s="1458" t="s">
        <v>8</v>
      </c>
      <c r="S9" s="1459">
        <f t="shared" si="0"/>
        <v>100</v>
      </c>
      <c r="T9" s="1458" t="s">
        <v>8</v>
      </c>
      <c r="U9" s="1459">
        <f t="shared" si="1"/>
        <v>100</v>
      </c>
      <c r="V9" s="1458" t="s">
        <v>8</v>
      </c>
      <c r="W9" s="1459">
        <f t="shared" si="2"/>
        <v>100</v>
      </c>
      <c r="X9" s="1460"/>
      <c r="Y9" s="3681" t="s">
        <v>519</v>
      </c>
      <c r="Z9" s="1096" t="str">
        <f t="shared" ref="Z9:Z14" si="7">Q9</f>
        <v>用途</v>
      </c>
      <c r="AA9" s="1461">
        <f t="shared" si="3"/>
        <v>1</v>
      </c>
      <c r="AB9" s="1461">
        <f t="shared" si="4"/>
        <v>1</v>
      </c>
      <c r="AC9" s="1461">
        <f t="shared" si="5"/>
        <v>1</v>
      </c>
    </row>
    <row r="10" spans="1:29" s="1247" customFormat="1" ht="27">
      <c r="A10" s="2554"/>
      <c r="B10" s="2559" t="s">
        <v>2473</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737"/>
      <c r="Q11" s="1097">
        <f t="shared" si="6"/>
        <v>111</v>
      </c>
      <c r="R11" s="1458" t="s">
        <v>8</v>
      </c>
      <c r="S11" s="1459">
        <f t="shared" si="0"/>
        <v>100</v>
      </c>
      <c r="T11" s="1458" t="s">
        <v>8</v>
      </c>
      <c r="U11" s="1459">
        <f t="shared" si="1"/>
        <v>100</v>
      </c>
      <c r="V11" s="1458" t="s">
        <v>8</v>
      </c>
      <c r="W11" s="1459">
        <f t="shared" si="2"/>
        <v>100</v>
      </c>
      <c r="X11" s="1460"/>
      <c r="Y11" s="3681"/>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737"/>
      <c r="Q12" s="1097">
        <f t="shared" si="6"/>
        <v>111</v>
      </c>
      <c r="R12" s="1458" t="s">
        <v>8</v>
      </c>
      <c r="S12" s="1459">
        <f t="shared" si="0"/>
        <v>100</v>
      </c>
      <c r="T12" s="1458" t="s">
        <v>8</v>
      </c>
      <c r="U12" s="1459">
        <f t="shared" si="1"/>
        <v>100</v>
      </c>
      <c r="V12" s="1458" t="s">
        <v>8</v>
      </c>
      <c r="W12" s="1459">
        <f t="shared" si="2"/>
        <v>100</v>
      </c>
      <c r="X12" s="1460"/>
      <c r="Y12" s="3681"/>
      <c r="Z12" s="1096">
        <f t="shared" si="7"/>
        <v>111</v>
      </c>
      <c r="AA12" s="1461">
        <f>D12/F12</f>
        <v>1</v>
      </c>
      <c r="AB12" s="1461">
        <f>D12/H12</f>
        <v>1</v>
      </c>
      <c r="AC12" s="1461">
        <f>D12/J12</f>
        <v>1</v>
      </c>
    </row>
    <row r="13" spans="1:29" ht="15.75"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737"/>
      <c r="Q13" s="1097">
        <f t="shared" si="6"/>
        <v>111</v>
      </c>
      <c r="R13" s="1458" t="s">
        <v>8</v>
      </c>
      <c r="S13" s="1459">
        <f t="shared" si="0"/>
        <v>100</v>
      </c>
      <c r="T13" s="1458" t="s">
        <v>8</v>
      </c>
      <c r="U13" s="1459">
        <f t="shared" si="1"/>
        <v>100</v>
      </c>
      <c r="V13" s="1458" t="s">
        <v>8</v>
      </c>
      <c r="W13" s="1459">
        <f t="shared" si="2"/>
        <v>100</v>
      </c>
      <c r="X13" s="1460"/>
      <c r="Y13" s="3681"/>
      <c r="Z13" s="1096">
        <f t="shared" si="7"/>
        <v>111</v>
      </c>
      <c r="AA13" s="1461">
        <f t="shared" si="3"/>
        <v>1</v>
      </c>
      <c r="AB13" s="1461">
        <f t="shared" si="4"/>
        <v>1</v>
      </c>
      <c r="AC13" s="1461">
        <f t="shared" si="5"/>
        <v>1</v>
      </c>
    </row>
    <row r="14" spans="1:29" ht="85.5">
      <c r="A14" s="2549" t="s">
        <v>2470</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770" t="s">
        <v>523</v>
      </c>
      <c r="Q14" s="1462" t="str">
        <f t="shared" si="6"/>
        <v>交通便捷度</v>
      </c>
      <c r="R14" s="1463" t="s">
        <v>8</v>
      </c>
      <c r="S14" s="1464">
        <f t="shared" si="0"/>
        <v>100</v>
      </c>
      <c r="T14" s="1463" t="s">
        <v>8</v>
      </c>
      <c r="U14" s="1464">
        <f t="shared" si="1"/>
        <v>100</v>
      </c>
      <c r="V14" s="1463" t="s">
        <v>8</v>
      </c>
      <c r="W14" s="1464">
        <f t="shared" si="2"/>
        <v>100</v>
      </c>
      <c r="X14" s="1457"/>
      <c r="Y14" s="3770"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771"/>
      <c r="Q15" s="1462"/>
      <c r="R15" s="1463"/>
      <c r="S15" s="1464"/>
      <c r="T15" s="1463"/>
      <c r="U15" s="1464"/>
      <c r="V15" s="1463"/>
      <c r="W15" s="1464"/>
      <c r="X15" s="1457"/>
      <c r="Y15" s="3771"/>
      <c r="Z15" s="1465"/>
      <c r="AA15" s="1466">
        <v>1</v>
      </c>
      <c r="AB15" s="1466">
        <v>1</v>
      </c>
      <c r="AC15" s="1466">
        <v>1</v>
      </c>
    </row>
    <row r="16" spans="1:29" ht="42.75">
      <c r="A16" s="509"/>
      <c r="B16" s="2369"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771"/>
      <c r="Q16" s="1462" t="str">
        <f>B16</f>
        <v>公共配套设施</v>
      </c>
      <c r="R16" s="1463" t="s">
        <v>8</v>
      </c>
      <c r="S16" s="1464">
        <f>F16</f>
        <v>100</v>
      </c>
      <c r="T16" s="1463" t="s">
        <v>8</v>
      </c>
      <c r="U16" s="1464">
        <f>H16</f>
        <v>100</v>
      </c>
      <c r="V16" s="1463" t="s">
        <v>8</v>
      </c>
      <c r="W16" s="1464">
        <f>J16</f>
        <v>100</v>
      </c>
      <c r="X16" s="1457"/>
      <c r="Y16" s="3771"/>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771"/>
      <c r="Q17" s="1462"/>
      <c r="R17" s="1463"/>
      <c r="S17" s="1464"/>
      <c r="T17" s="1463"/>
      <c r="U17" s="1464"/>
      <c r="V17" s="1463"/>
      <c r="W17" s="1464"/>
      <c r="X17" s="1457"/>
      <c r="Y17" s="3771"/>
      <c r="Z17" s="1465"/>
      <c r="AA17" s="1466">
        <v>1</v>
      </c>
      <c r="AB17" s="1466">
        <v>1</v>
      </c>
      <c r="AC17" s="1466">
        <v>1</v>
      </c>
    </row>
    <row r="18" spans="1:29" ht="28.5">
      <c r="A18" s="509"/>
      <c r="B18" s="2357"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771"/>
      <c r="Q18" s="2351" t="str">
        <f>B18</f>
        <v>基础设施水平</v>
      </c>
      <c r="R18" s="1463" t="s">
        <v>8</v>
      </c>
      <c r="S18" s="1464">
        <f>F18</f>
        <v>100</v>
      </c>
      <c r="T18" s="1463" t="s">
        <v>8</v>
      </c>
      <c r="U18" s="1464">
        <f>H18</f>
        <v>100</v>
      </c>
      <c r="V18" s="1463" t="s">
        <v>8</v>
      </c>
      <c r="W18" s="1464">
        <f>J18</f>
        <v>100</v>
      </c>
      <c r="X18" s="2353"/>
      <c r="Y18" s="3771"/>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771"/>
      <c r="Q19" s="2351"/>
      <c r="R19" s="1463"/>
      <c r="S19" s="1464"/>
      <c r="T19" s="1463"/>
      <c r="U19" s="1464"/>
      <c r="V19" s="1463"/>
      <c r="W19" s="1464"/>
      <c r="X19" s="2353"/>
      <c r="Y19" s="3771"/>
      <c r="Z19" s="2352"/>
      <c r="AA19" s="1466">
        <v>1</v>
      </c>
      <c r="AB19" s="1466">
        <v>1</v>
      </c>
      <c r="AC19" s="1466">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771"/>
      <c r="Q20" s="1462" t="str">
        <f>B20</f>
        <v>自然及人文环境</v>
      </c>
      <c r="R20" s="1463" t="s">
        <v>8</v>
      </c>
      <c r="S20" s="1464">
        <f>F20</f>
        <v>100</v>
      </c>
      <c r="T20" s="1463" t="s">
        <v>8</v>
      </c>
      <c r="U20" s="1464">
        <f>H20</f>
        <v>100</v>
      </c>
      <c r="V20" s="1463" t="s">
        <v>8</v>
      </c>
      <c r="W20" s="1464">
        <f>J20</f>
        <v>100</v>
      </c>
      <c r="X20" s="1457"/>
      <c r="Y20" s="3771"/>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771"/>
      <c r="Q21" s="1462"/>
      <c r="R21" s="1463"/>
      <c r="S21" s="1464"/>
      <c r="T21" s="1463"/>
      <c r="U21" s="1464"/>
      <c r="V21" s="1463"/>
      <c r="W21" s="1464"/>
      <c r="X21" s="1457"/>
      <c r="Y21" s="3771"/>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771"/>
      <c r="Q22" s="1462" t="str">
        <f>B22</f>
        <v>楼层</v>
      </c>
      <c r="R22" s="1463" t="s">
        <v>8</v>
      </c>
      <c r="S22" s="1464">
        <f>F22</f>
        <v>100</v>
      </c>
      <c r="T22" s="1463" t="s">
        <v>8</v>
      </c>
      <c r="U22" s="1464">
        <f>H22</f>
        <v>100</v>
      </c>
      <c r="V22" s="1463" t="s">
        <v>8</v>
      </c>
      <c r="W22" s="1464">
        <f>J22</f>
        <v>100</v>
      </c>
      <c r="X22" s="1457"/>
      <c r="Y22" s="3771"/>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771"/>
      <c r="Q23" s="1462">
        <f>B23</f>
        <v>111</v>
      </c>
      <c r="R23" s="1463" t="s">
        <v>8</v>
      </c>
      <c r="S23" s="1464">
        <f>F23</f>
        <v>100</v>
      </c>
      <c r="T23" s="1463" t="s">
        <v>8</v>
      </c>
      <c r="U23" s="1464">
        <f>H23</f>
        <v>100</v>
      </c>
      <c r="V23" s="1463" t="s">
        <v>8</v>
      </c>
      <c r="W23" s="1464">
        <f>J23</f>
        <v>100</v>
      </c>
      <c r="X23" s="1457"/>
      <c r="Y23" s="3771"/>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771"/>
      <c r="Q24" s="1462">
        <f t="shared" ref="Q24:Q34" si="11">B24</f>
        <v>111</v>
      </c>
      <c r="R24" s="1463" t="s">
        <v>8</v>
      </c>
      <c r="S24" s="1464">
        <f>F24</f>
        <v>100</v>
      </c>
      <c r="T24" s="1463" t="s">
        <v>8</v>
      </c>
      <c r="U24" s="1464">
        <f>H24</f>
        <v>100</v>
      </c>
      <c r="V24" s="1463" t="s">
        <v>8</v>
      </c>
      <c r="W24" s="1464">
        <f>J24</f>
        <v>100</v>
      </c>
      <c r="X24" s="1457"/>
      <c r="Y24" s="3771"/>
      <c r="Z24" s="1465">
        <f>Q24</f>
        <v>111</v>
      </c>
      <c r="AA24" s="1466">
        <f t="shared" si="3"/>
        <v>1</v>
      </c>
      <c r="AB24" s="1466">
        <f t="shared" si="4"/>
        <v>1</v>
      </c>
      <c r="AC24" s="1466">
        <f t="shared" si="5"/>
        <v>1</v>
      </c>
    </row>
    <row r="25" spans="1:29" s="1166"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771"/>
      <c r="Q25" s="1097">
        <f t="shared" si="11"/>
        <v>111</v>
      </c>
      <c r="R25" s="1458" t="s">
        <v>8</v>
      </c>
      <c r="S25" s="1459">
        <f>F25</f>
        <v>100</v>
      </c>
      <c r="T25" s="1458" t="s">
        <v>8</v>
      </c>
      <c r="U25" s="1459">
        <f>H25</f>
        <v>100</v>
      </c>
      <c r="V25" s="1458" t="s">
        <v>8</v>
      </c>
      <c r="W25" s="1459">
        <f>J25</f>
        <v>100</v>
      </c>
      <c r="X25" s="1460"/>
      <c r="Y25" s="3771"/>
      <c r="Z25" s="1096">
        <f>Q25</f>
        <v>111</v>
      </c>
      <c r="AA25" s="1466">
        <f>D25/F25</f>
        <v>1</v>
      </c>
      <c r="AB25" s="1466">
        <f>D25/H25</f>
        <v>1</v>
      </c>
      <c r="AC25" s="1466">
        <f>D25/J25</f>
        <v>1</v>
      </c>
    </row>
    <row r="26" spans="1:29" ht="15">
      <c r="A26" s="2546" t="s">
        <v>2471</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772"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773"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773"/>
      <c r="Q27" s="1491" t="str">
        <f t="shared" si="11"/>
        <v>成新率</v>
      </c>
      <c r="R27" s="1467" t="s">
        <v>8</v>
      </c>
      <c r="S27" s="1468" t="e">
        <f t="shared" si="12"/>
        <v>#N/A</v>
      </c>
      <c r="T27" s="1467" t="s">
        <v>8</v>
      </c>
      <c r="U27" s="1468" t="e">
        <f t="shared" si="13"/>
        <v>#N/A</v>
      </c>
      <c r="V27" s="1467" t="s">
        <v>8</v>
      </c>
      <c r="W27" s="1468" t="e">
        <f t="shared" si="14"/>
        <v>#N/A</v>
      </c>
      <c r="X27" s="1469"/>
      <c r="Y27" s="3773"/>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773"/>
      <c r="Q28" s="1462" t="str">
        <f t="shared" si="11"/>
        <v>物业等级</v>
      </c>
      <c r="R28" s="1463" t="s">
        <v>8</v>
      </c>
      <c r="S28" s="1464">
        <f t="shared" si="12"/>
        <v>100</v>
      </c>
      <c r="T28" s="1463" t="s">
        <v>8</v>
      </c>
      <c r="U28" s="1464">
        <f t="shared" si="13"/>
        <v>100</v>
      </c>
      <c r="V28" s="1463" t="s">
        <v>8</v>
      </c>
      <c r="W28" s="1464">
        <f t="shared" si="14"/>
        <v>100</v>
      </c>
      <c r="X28" s="1457"/>
      <c r="Y28" s="3773"/>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773"/>
      <c r="Q29" s="1462" t="str">
        <f t="shared" si="11"/>
        <v>有无电梯</v>
      </c>
      <c r="R29" s="1463" t="s">
        <v>8</v>
      </c>
      <c r="S29" s="1464">
        <f t="shared" si="12"/>
        <v>100</v>
      </c>
      <c r="T29" s="1463" t="s">
        <v>8</v>
      </c>
      <c r="U29" s="1464">
        <f t="shared" si="13"/>
        <v>100</v>
      </c>
      <c r="V29" s="1463" t="s">
        <v>8</v>
      </c>
      <c r="W29" s="1464">
        <f t="shared" si="14"/>
        <v>100</v>
      </c>
      <c r="X29" s="1457"/>
      <c r="Y29" s="3773"/>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773"/>
      <c r="Q30" s="1462" t="str">
        <f t="shared" si="11"/>
        <v>建筑面积</v>
      </c>
      <c r="R30" s="1463" t="s">
        <v>8</v>
      </c>
      <c r="S30" s="1464" t="e">
        <f t="shared" si="12"/>
        <v>#N/A</v>
      </c>
      <c r="T30" s="1463" t="s">
        <v>8</v>
      </c>
      <c r="U30" s="1464" t="e">
        <f t="shared" si="13"/>
        <v>#N/A</v>
      </c>
      <c r="V30" s="1463" t="s">
        <v>8</v>
      </c>
      <c r="W30" s="1464" t="e">
        <f t="shared" si="14"/>
        <v>#N/A</v>
      </c>
      <c r="X30" s="1457"/>
      <c r="Y30" s="3773"/>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773"/>
      <c r="Q31" s="1097" t="str">
        <f t="shared" si="11"/>
        <v>是否封闭</v>
      </c>
      <c r="R31" s="1458" t="s">
        <v>8</v>
      </c>
      <c r="S31" s="1459">
        <f t="shared" si="12"/>
        <v>100</v>
      </c>
      <c r="T31" s="1458" t="s">
        <v>8</v>
      </c>
      <c r="U31" s="1459">
        <f t="shared" si="13"/>
        <v>100</v>
      </c>
      <c r="V31" s="1458" t="s">
        <v>8</v>
      </c>
      <c r="W31" s="1459">
        <f t="shared" si="14"/>
        <v>100</v>
      </c>
      <c r="X31" s="1460"/>
      <c r="Y31" s="3773"/>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773" t="s">
        <v>533</v>
      </c>
      <c r="Q32" s="1462">
        <f t="shared" si="11"/>
        <v>111</v>
      </c>
      <c r="R32" s="1463" t="s">
        <v>8</v>
      </c>
      <c r="S32" s="1464">
        <f t="shared" si="12"/>
        <v>100</v>
      </c>
      <c r="T32" s="1463" t="s">
        <v>8</v>
      </c>
      <c r="U32" s="1464">
        <f t="shared" si="13"/>
        <v>100</v>
      </c>
      <c r="V32" s="1463" t="s">
        <v>8</v>
      </c>
      <c r="W32" s="1464">
        <f t="shared" si="14"/>
        <v>100</v>
      </c>
      <c r="X32" s="1457"/>
      <c r="Y32" s="3773"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773"/>
      <c r="Q33" s="1462">
        <f t="shared" si="11"/>
        <v>111</v>
      </c>
      <c r="R33" s="1463" t="s">
        <v>8</v>
      </c>
      <c r="S33" s="1464">
        <f t="shared" si="12"/>
        <v>100</v>
      </c>
      <c r="T33" s="1463" t="s">
        <v>8</v>
      </c>
      <c r="U33" s="1464">
        <f t="shared" si="13"/>
        <v>100</v>
      </c>
      <c r="V33" s="1463" t="s">
        <v>8</v>
      </c>
      <c r="W33" s="1464">
        <f t="shared" si="14"/>
        <v>100</v>
      </c>
      <c r="X33" s="1457"/>
      <c r="Y33" s="3773"/>
      <c r="Z33" s="1465">
        <f t="shared" si="15"/>
        <v>111</v>
      </c>
      <c r="AA33" s="1466">
        <f t="shared" si="3"/>
        <v>1</v>
      </c>
      <c r="AB33" s="1466">
        <f t="shared" si="4"/>
        <v>1</v>
      </c>
      <c r="AC33" s="1466">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773"/>
      <c r="Q34" s="1462">
        <f t="shared" si="11"/>
        <v>111</v>
      </c>
      <c r="R34" s="1463" t="s">
        <v>8</v>
      </c>
      <c r="S34" s="1464">
        <f t="shared" si="12"/>
        <v>100</v>
      </c>
      <c r="T34" s="1463" t="s">
        <v>8</v>
      </c>
      <c r="U34" s="1464">
        <f t="shared" si="13"/>
        <v>100</v>
      </c>
      <c r="V34" s="1463" t="s">
        <v>8</v>
      </c>
      <c r="W34" s="1464">
        <f t="shared" si="14"/>
        <v>100</v>
      </c>
      <c r="X34" s="1457"/>
      <c r="Y34" s="3773"/>
      <c r="Z34" s="1465">
        <f t="shared" si="15"/>
        <v>111</v>
      </c>
      <c r="AA34" s="1466">
        <f t="shared" si="3"/>
        <v>1</v>
      </c>
      <c r="AB34" s="1466">
        <f t="shared" si="4"/>
        <v>1</v>
      </c>
      <c r="AC34" s="1466">
        <f t="shared" si="5"/>
        <v>1</v>
      </c>
    </row>
    <row r="35" spans="1:29" ht="15">
      <c r="A35" s="584" t="s">
        <v>718</v>
      </c>
      <c r="B35" s="858"/>
      <c r="C35" s="2392" t="s">
        <v>1</v>
      </c>
      <c r="D35" s="2393"/>
      <c r="E35" s="2394"/>
      <c r="F35" s="2395"/>
      <c r="G35" s="2396"/>
      <c r="H35" s="2397"/>
      <c r="I35" s="2394"/>
      <c r="J35" s="2397"/>
      <c r="K35" s="1496"/>
      <c r="L35" s="1980"/>
      <c r="M35" s="1981"/>
      <c r="N35" s="1970"/>
      <c r="O35" s="1981"/>
      <c r="P35" s="3737" t="str">
        <f>A35</f>
        <v>成交单价（元/平方米）</v>
      </c>
      <c r="Q35" s="3737"/>
      <c r="R35" s="3865">
        <f>E35</f>
        <v>0</v>
      </c>
      <c r="S35" s="3865"/>
      <c r="T35" s="3865">
        <f>G35</f>
        <v>0</v>
      </c>
      <c r="U35" s="3865"/>
      <c r="V35" s="3865">
        <f>I35</f>
        <v>0</v>
      </c>
      <c r="W35" s="3865"/>
      <c r="X35" s="1452"/>
      <c r="Y35" s="1471"/>
      <c r="Z35" s="1452"/>
      <c r="AA35" s="1452"/>
      <c r="AB35" s="1452"/>
      <c r="AC35" s="1452"/>
    </row>
    <row r="36" spans="1:29" ht="15.75" thickBot="1">
      <c r="A36" s="592" t="s">
        <v>2476</v>
      </c>
      <c r="B36" s="859"/>
      <c r="C36" s="2398" t="e">
        <f>R37</f>
        <v>#DIV/0!</v>
      </c>
      <c r="D36" s="2922" t="s">
        <v>2701</v>
      </c>
      <c r="E36" s="2399" t="e">
        <f>R36</f>
        <v>#DIV/0!</v>
      </c>
      <c r="F36" s="2923"/>
      <c r="G36" s="2398" t="e">
        <f>T36</f>
        <v>#DIV/0!</v>
      </c>
      <c r="H36" s="2923"/>
      <c r="I36" s="2399" t="e">
        <f>V36</f>
        <v>#DIV/0!</v>
      </c>
      <c r="J36" s="2923"/>
      <c r="K36" s="2931">
        <f>F36+H36+J36</f>
        <v>0</v>
      </c>
      <c r="L36" s="1980"/>
      <c r="M36" s="1981"/>
      <c r="N36" s="1970"/>
      <c r="O36" s="1981"/>
      <c r="P36" s="3737" t="str">
        <f>A36</f>
        <v>比较价格（元/平方米）</v>
      </c>
      <c r="Q36" s="3737"/>
      <c r="R36" s="3865" t="e">
        <f>IF(F1="售价",ROUND(PRODUCT(R35,AA7:AA34),0),ROUND(PRODUCT(R35,AA7:AA34),1))</f>
        <v>#DIV/0!</v>
      </c>
      <c r="S36" s="3865"/>
      <c r="T36" s="3865" t="e">
        <f>IF(F1="售价",ROUND(PRODUCT(T35,AB7:AB34),0),ROUND(PRODUCT(T35,AB7:AB34),1))</f>
        <v>#DIV/0!</v>
      </c>
      <c r="U36" s="3865"/>
      <c r="V36" s="3865" t="e">
        <f>IF(F1="售价",ROUND(PRODUCT(V35,AC7:AC34),0),ROUND(PRODUCT(V35,AC7:AC34),1))</f>
        <v>#DIV/0!</v>
      </c>
      <c r="W36" s="3865"/>
      <c r="X36" s="1452"/>
      <c r="Y36" s="1452"/>
      <c r="Z36" s="1452"/>
      <c r="AA36" s="1452"/>
      <c r="AB36" s="1452"/>
      <c r="AC36" s="1452"/>
    </row>
    <row r="37" spans="1:29" ht="15.75" thickBot="1">
      <c r="A37" s="596" t="s">
        <v>2635</v>
      </c>
      <c r="B37" s="597"/>
      <c r="C37" s="2400" t="e">
        <f>R37</f>
        <v>#DIV/0!</v>
      </c>
      <c r="D37" s="2400"/>
      <c r="E37" s="2400"/>
      <c r="F37" s="2400"/>
      <c r="G37" s="2400"/>
      <c r="H37" s="2400"/>
      <c r="I37" s="2400"/>
      <c r="J37" s="2400"/>
      <c r="K37" s="1497"/>
      <c r="L37" s="1980"/>
      <c r="M37" s="1981"/>
      <c r="N37" s="1981"/>
      <c r="O37" s="1981"/>
      <c r="P37" s="3774" t="str">
        <f>A37</f>
        <v>估价对象XX用房的比较价格（楼面单价，元/平方米）</v>
      </c>
      <c r="Q37" s="3775"/>
      <c r="R37" s="3864" t="e">
        <f>IF(F1="售价",ROUND(IF(D36="简单平均",AVERAGE(R36:W36),R36*F36+T36*H36+V36*J36),0),ROUND(IF(D36="简单平均",AVERAGE(R36:V36),R36*F36+T36*H36+V36*J36),1))</f>
        <v>#DIV/0!</v>
      </c>
      <c r="S37" s="3864"/>
      <c r="T37" s="3864"/>
      <c r="U37" s="3864"/>
      <c r="V37" s="3864"/>
      <c r="W37" s="3864"/>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20" t="s">
        <v>512</v>
      </c>
      <c r="B46" s="621"/>
      <c r="C46" s="2441" t="str">
        <f>YEAR(C7)&amp;"-"&amp;MONTH(C7)</f>
        <v>2022-7</v>
      </c>
      <c r="D46" s="2443">
        <f>EDATE(C46,-1)</f>
        <v>44713</v>
      </c>
      <c r="E46" s="2443">
        <f t="shared" ref="E46:O46" si="16">EDATE(D46,-1)</f>
        <v>44682</v>
      </c>
      <c r="F46" s="2443">
        <f t="shared" si="16"/>
        <v>44652</v>
      </c>
      <c r="G46" s="2443">
        <f t="shared" si="16"/>
        <v>44621</v>
      </c>
      <c r="H46" s="2443">
        <f t="shared" si="16"/>
        <v>44593</v>
      </c>
      <c r="I46" s="2443">
        <f t="shared" si="16"/>
        <v>44562</v>
      </c>
      <c r="J46" s="2443">
        <f t="shared" si="16"/>
        <v>44531</v>
      </c>
      <c r="K46" s="2443">
        <f t="shared" si="16"/>
        <v>44501</v>
      </c>
      <c r="L46" s="2443">
        <f t="shared" si="16"/>
        <v>44470</v>
      </c>
      <c r="M46" s="2443">
        <f t="shared" si="16"/>
        <v>44440</v>
      </c>
      <c r="N46" s="2443">
        <f t="shared" si="16"/>
        <v>44409</v>
      </c>
      <c r="O46" s="2443">
        <f t="shared" si="16"/>
        <v>44378</v>
      </c>
      <c r="P46" s="1995"/>
      <c r="Q46" s="1996"/>
      <c r="R46" s="1996"/>
      <c r="S46" s="1996"/>
      <c r="T46" s="1996"/>
      <c r="U46" s="1996"/>
      <c r="V46" s="1996"/>
      <c r="W46" s="1996"/>
      <c r="X46" s="1996"/>
      <c r="Y46" s="1996"/>
      <c r="Z46" s="1996"/>
      <c r="AA46" s="1996"/>
      <c r="AB46" s="1996"/>
      <c r="AC46" s="1996"/>
    </row>
    <row r="47" spans="1:29" s="1166"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2274</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2275</v>
      </c>
      <c r="C65" s="2364" t="s">
        <v>2276</v>
      </c>
      <c r="D65" s="2364" t="s">
        <v>2277</v>
      </c>
      <c r="E65" s="2364" t="s">
        <v>2278</v>
      </c>
      <c r="F65" s="2364" t="s">
        <v>2279</v>
      </c>
      <c r="G65" s="2364" t="s">
        <v>2280</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H14" sqref="H14"/>
      <selection pane="bottomLeft" activeCell="H14" sqref="H1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8" t="s">
        <v>2093</v>
      </c>
      <c r="C1" s="3876" t="s">
        <v>2094</v>
      </c>
      <c r="D1" s="3877"/>
      <c r="E1" s="3877"/>
      <c r="F1" s="3877"/>
      <c r="G1" s="3877"/>
      <c r="H1" s="3877"/>
      <c r="I1" s="3877"/>
      <c r="J1" s="3877"/>
      <c r="K1" s="3877"/>
      <c r="L1" s="3877"/>
      <c r="M1" s="3877"/>
      <c r="N1" s="3877"/>
      <c r="O1" s="3877"/>
      <c r="P1" s="3877"/>
      <c r="Q1" s="3877"/>
      <c r="R1" s="3877"/>
      <c r="S1" s="3878"/>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2628</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2627</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2626</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2639</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2625</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2624</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873" t="s">
        <v>20</v>
      </c>
      <c r="D22" s="3874"/>
      <c r="E22" s="3874"/>
      <c r="F22" s="3874"/>
      <c r="G22" s="3874"/>
      <c r="H22" s="3874"/>
      <c r="I22" s="3874"/>
      <c r="J22" s="3874"/>
      <c r="K22" s="3874"/>
      <c r="L22" s="3874"/>
      <c r="M22" s="3874"/>
      <c r="N22" s="3874"/>
      <c r="O22" s="3874"/>
      <c r="P22" s="3874"/>
      <c r="Q22" s="3875"/>
      <c r="R22" s="474" t="e">
        <f>ROUND(S22*10000/B22,0)</f>
        <v>#DIV/0!</v>
      </c>
      <c r="S22" s="53">
        <f>SUM(S24:S10000)</f>
        <v>0</v>
      </c>
    </row>
    <row r="23" spans="1:45" s="1498" customFormat="1" ht="24">
      <c r="A23" s="17" t="s">
        <v>812</v>
      </c>
      <c r="B23" s="2779" t="s">
        <v>2647</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32" sqref="H32"/>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2503</v>
      </c>
      <c r="C1" s="2642">
        <f>项目基本情况!D3</f>
        <v>44747</v>
      </c>
      <c r="H1" s="2577">
        <f>IF(C1&gt;C13,0,MATCH(C1,C$13:C$108,-1))+IF(SUMIF(C13:C108,C1,D13:D108)=0,13,12)</f>
        <v>13</v>
      </c>
      <c r="I1" s="2577">
        <f ca="1">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2534</v>
      </c>
      <c r="C2" s="2643">
        <f>'数据-取费表'!B22</f>
        <v>3</v>
      </c>
      <c r="D2" s="2638" t="s">
        <v>2504</v>
      </c>
      <c r="E2" s="2641">
        <f ca="1">INDIRECT("I"&amp;$I$1)/100</f>
        <v>3.7000000000000005E-2</v>
      </c>
      <c r="G2" s="2579"/>
      <c r="H2" s="2579"/>
      <c r="I2" s="2579" t="s">
        <v>2505</v>
      </c>
      <c r="K2" s="2579"/>
      <c r="L2" s="2579"/>
      <c r="M2" s="2579"/>
      <c r="N2" s="2579" t="s">
        <v>2506</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2536</v>
      </c>
      <c r="C3" s="2640">
        <f>'数据-取费表'!B19</f>
        <v>0</v>
      </c>
      <c r="D3" s="2638" t="s">
        <v>2504</v>
      </c>
      <c r="E3" s="2641">
        <f ca="1">INDIRECT("J"&amp;$J$1)/100</f>
        <v>0</v>
      </c>
      <c r="G3" s="2581" t="s">
        <v>2507</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2535</v>
      </c>
      <c r="C4" s="2641">
        <f ca="1">N4/100</f>
        <v>1.4999999999999999E-2</v>
      </c>
      <c r="G4" s="2587" t="s">
        <v>2508</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2509</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2510</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2511</v>
      </c>
      <c r="H7" s="2593">
        <v>5</v>
      </c>
      <c r="I7" s="2594">
        <f ca="1">INDIRECT("h"&amp;$H$1)</f>
        <v>4.45</v>
      </c>
      <c r="J7" s="2594">
        <f ca="1">INDIRECT("h"&amp;$H$1)</f>
        <v>4.45</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2512</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2513</v>
      </c>
      <c r="C10" s="2606"/>
      <c r="D10" s="2606"/>
      <c r="E10" s="2606"/>
      <c r="F10" s="2606"/>
      <c r="G10" s="2606"/>
      <c r="H10" s="2606"/>
      <c r="I10" s="2580"/>
      <c r="J10" s="2580"/>
      <c r="K10" s="2606"/>
      <c r="L10" s="2607" t="s">
        <v>2514</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2515</v>
      </c>
      <c r="C11" s="2611" t="s">
        <v>2516</v>
      </c>
      <c r="D11" s="2612" t="s">
        <v>2517</v>
      </c>
      <c r="E11" s="2613"/>
      <c r="F11" s="2612" t="s">
        <v>2518</v>
      </c>
      <c r="G11" s="2614"/>
      <c r="H11" s="2613"/>
      <c r="I11" s="2612" t="s">
        <v>2519</v>
      </c>
      <c r="J11" s="2613"/>
      <c r="K11" s="2609"/>
      <c r="L11" s="2610" t="s">
        <v>2515</v>
      </c>
      <c r="M11" s="2611" t="s">
        <v>2516</v>
      </c>
      <c r="N11" s="2610" t="s">
        <v>2520</v>
      </c>
      <c r="O11" s="2612" t="s">
        <v>2521</v>
      </c>
      <c r="P11" s="2614"/>
      <c r="Q11" s="2614"/>
      <c r="R11" s="2614"/>
      <c r="S11" s="2614"/>
      <c r="T11" s="2613"/>
      <c r="U11" s="2612" t="s">
        <v>2522</v>
      </c>
      <c r="V11" s="2614"/>
      <c r="W11" s="2613"/>
      <c r="X11" s="2610" t="s">
        <v>2523</v>
      </c>
      <c r="Y11" s="2610" t="s">
        <v>2524</v>
      </c>
      <c r="Z11" s="2610" t="s">
        <v>2525</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2526</v>
      </c>
      <c r="E12" s="2619" t="s">
        <v>2527</v>
      </c>
      <c r="F12" s="2619" t="s">
        <v>2528</v>
      </c>
      <c r="G12" s="2619" t="s">
        <v>2529</v>
      </c>
      <c r="H12" s="2619" t="s">
        <v>2511</v>
      </c>
      <c r="I12" s="2620" t="s">
        <v>2530</v>
      </c>
      <c r="J12" s="2620" t="s">
        <v>2530</v>
      </c>
      <c r="K12" s="2616"/>
      <c r="L12" s="2617"/>
      <c r="M12" s="2618"/>
      <c r="N12" s="2617"/>
      <c r="O12" s="2620" t="s">
        <v>2531</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2532</v>
      </c>
      <c r="C13" s="2624">
        <v>44701</v>
      </c>
      <c r="D13" s="2625">
        <v>3.7</v>
      </c>
      <c r="E13" s="2625">
        <f>D13</f>
        <v>3.7</v>
      </c>
      <c r="F13" s="2625">
        <f>D13</f>
        <v>3.7</v>
      </c>
      <c r="G13" s="2625">
        <f>D13</f>
        <v>3.7</v>
      </c>
      <c r="H13" s="2625">
        <v>4.45</v>
      </c>
      <c r="I13" s="2625"/>
      <c r="J13" s="2625"/>
      <c r="K13" s="2622"/>
      <c r="L13" s="2623" t="s">
        <v>2532</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24">
        <v>44581</v>
      </c>
      <c r="D14" s="2625">
        <v>3.7</v>
      </c>
      <c r="E14" s="2625">
        <f>D14</f>
        <v>3.7</v>
      </c>
      <c r="F14" s="2625">
        <f>D14</f>
        <v>3.7</v>
      </c>
      <c r="G14" s="2625">
        <f>D14</f>
        <v>3.7</v>
      </c>
      <c r="H14" s="2625">
        <v>4.5999999999999996</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44550</v>
      </c>
      <c r="D15" s="2629">
        <v>3.8</v>
      </c>
      <c r="E15" s="2629">
        <f>D15</f>
        <v>3.8</v>
      </c>
      <c r="F15" s="2629">
        <f>D15</f>
        <v>3.8</v>
      </c>
      <c r="G15" s="2629">
        <f>D15</f>
        <v>3.8</v>
      </c>
      <c r="H15" s="2629">
        <v>4.6500000000000004</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43941</v>
      </c>
      <c r="D16" s="2629">
        <v>3.85</v>
      </c>
      <c r="E16" s="2629">
        <v>3.85</v>
      </c>
      <c r="F16" s="2629">
        <v>3.85</v>
      </c>
      <c r="G16" s="2629">
        <v>3.85</v>
      </c>
      <c r="H16" s="2629">
        <v>4.6500000000000004</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43881</v>
      </c>
      <c r="D17" s="2629">
        <v>4.05</v>
      </c>
      <c r="E17" s="2629">
        <v>4.05</v>
      </c>
      <c r="F17" s="2629">
        <v>4.05</v>
      </c>
      <c r="G17" s="2629">
        <v>4.05</v>
      </c>
      <c r="H17" s="2629">
        <v>4.75</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43789</v>
      </c>
      <c r="D18" s="2629">
        <v>4.1500000000000004</v>
      </c>
      <c r="E18" s="2629">
        <v>4.1500000000000004</v>
      </c>
      <c r="F18" s="2629">
        <v>4.1500000000000004</v>
      </c>
      <c r="G18" s="2629">
        <v>4.1500000000000004</v>
      </c>
      <c r="H18" s="2629">
        <v>4.8</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43728</v>
      </c>
      <c r="D19" s="2629">
        <v>4.2</v>
      </c>
      <c r="E19" s="2629">
        <v>4.2</v>
      </c>
      <c r="F19" s="2629">
        <v>4.2</v>
      </c>
      <c r="G19" s="2629">
        <v>4.2</v>
      </c>
      <c r="H19" s="2629">
        <v>4.8499999999999996</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3" t="s">
        <v>2730</v>
      </c>
      <c r="C20" s="2631">
        <v>43697</v>
      </c>
      <c r="D20" s="3186">
        <v>4.25</v>
      </c>
      <c r="E20" s="3186">
        <v>4.25</v>
      </c>
      <c r="F20" s="3186">
        <v>4.25</v>
      </c>
      <c r="G20" s="3186">
        <v>4.25</v>
      </c>
      <c r="H20" s="3186">
        <v>4.8499999999999996</v>
      </c>
      <c r="I20" s="3186"/>
      <c r="J20" s="3186"/>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3189"/>
      <c r="B21" s="3190"/>
      <c r="C21" s="3191">
        <v>42301</v>
      </c>
      <c r="D21" s="3192">
        <v>4.3499999999999996</v>
      </c>
      <c r="E21" s="3192">
        <v>4.3499999999999996</v>
      </c>
      <c r="F21" s="3192">
        <v>4.75</v>
      </c>
      <c r="G21" s="3192">
        <v>4.75</v>
      </c>
      <c r="H21" s="3192">
        <v>4.9000000000000004</v>
      </c>
      <c r="I21" s="3192"/>
      <c r="J21" s="3192"/>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42242</v>
      </c>
      <c r="D22" s="2629">
        <v>4.5999999999999996</v>
      </c>
      <c r="E22" s="2629">
        <v>4.5999999999999996</v>
      </c>
      <c r="F22" s="2629">
        <v>5</v>
      </c>
      <c r="G22" s="2629">
        <v>5</v>
      </c>
      <c r="H22" s="2629">
        <v>5.15</v>
      </c>
      <c r="I22" s="2629">
        <v>2.75</v>
      </c>
      <c r="J22" s="2629">
        <v>3.25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42183</v>
      </c>
      <c r="D23" s="2629">
        <v>4.8499999999999996</v>
      </c>
      <c r="E23" s="2629">
        <v>4.8499999999999996</v>
      </c>
      <c r="F23" s="2629">
        <v>5.25</v>
      </c>
      <c r="G23" s="2629">
        <v>5.25</v>
      </c>
      <c r="H23" s="2629">
        <v>5.4</v>
      </c>
      <c r="I23" s="2629">
        <v>3</v>
      </c>
      <c r="J23" s="2629">
        <v>3.5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42135</v>
      </c>
      <c r="D24" s="2629">
        <v>5.0999999999999996</v>
      </c>
      <c r="E24" s="2629">
        <v>5.0999999999999996</v>
      </c>
      <c r="F24" s="2629">
        <v>5.5</v>
      </c>
      <c r="G24" s="2629">
        <v>5.5</v>
      </c>
      <c r="H24" s="2629">
        <v>5.65</v>
      </c>
      <c r="I24" s="2629">
        <v>3.25</v>
      </c>
      <c r="J24" s="2629">
        <v>3.75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42064</v>
      </c>
      <c r="D25" s="2629">
        <v>5.35</v>
      </c>
      <c r="E25" s="2629">
        <v>5.35</v>
      </c>
      <c r="F25" s="2629">
        <v>5.75</v>
      </c>
      <c r="G25" s="2629">
        <v>5.75</v>
      </c>
      <c r="H25" s="2629">
        <v>5.9</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41965</v>
      </c>
      <c r="D26" s="2629">
        <v>5.6</v>
      </c>
      <c r="E26" s="2629">
        <v>5.6</v>
      </c>
      <c r="F26" s="2629">
        <v>6</v>
      </c>
      <c r="G26" s="2629">
        <v>6</v>
      </c>
      <c r="H26" s="2629">
        <v>6.15</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41096</v>
      </c>
      <c r="D27" s="2629">
        <v>5.6</v>
      </c>
      <c r="E27" s="2629">
        <v>6</v>
      </c>
      <c r="F27" s="2629">
        <v>6.15</v>
      </c>
      <c r="G27" s="2629">
        <v>6.4</v>
      </c>
      <c r="H27" s="2629">
        <v>6.55</v>
      </c>
      <c r="I27" s="2629">
        <v>4</v>
      </c>
      <c r="J27" s="2629">
        <v>4.5</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41068</v>
      </c>
      <c r="D28" s="2629">
        <v>5.85</v>
      </c>
      <c r="E28" s="2629">
        <v>6.31</v>
      </c>
      <c r="F28" s="2629">
        <v>6.4</v>
      </c>
      <c r="G28" s="2629">
        <v>6.65</v>
      </c>
      <c r="H28" s="2629">
        <v>6.8</v>
      </c>
      <c r="I28" s="2629">
        <v>4.2</v>
      </c>
      <c r="J28" s="2629">
        <v>4.7</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40731</v>
      </c>
      <c r="D29" s="2629">
        <v>6.1</v>
      </c>
      <c r="E29" s="2629">
        <v>6.56</v>
      </c>
      <c r="F29" s="2629">
        <v>6.65</v>
      </c>
      <c r="G29" s="2629">
        <v>6.9</v>
      </c>
      <c r="H29" s="2629">
        <v>7.05</v>
      </c>
      <c r="I29" s="2629">
        <v>4.45</v>
      </c>
      <c r="J29" s="2629">
        <v>4.9000000000000004</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40639</v>
      </c>
      <c r="D30" s="2629">
        <v>5.85</v>
      </c>
      <c r="E30" s="2629">
        <v>6.31</v>
      </c>
      <c r="F30" s="2629">
        <v>6.4</v>
      </c>
      <c r="G30" s="2629">
        <v>6.65</v>
      </c>
      <c r="H30" s="2629">
        <v>6.8</v>
      </c>
      <c r="I30" s="2629">
        <v>4.2</v>
      </c>
      <c r="J30" s="2629">
        <v>4.7</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40583</v>
      </c>
      <c r="D31" s="2629">
        <v>5.6</v>
      </c>
      <c r="E31" s="2629">
        <v>6.06</v>
      </c>
      <c r="F31" s="2629">
        <v>6.1</v>
      </c>
      <c r="G31" s="2629">
        <v>6.45</v>
      </c>
      <c r="H31" s="2629">
        <v>6.6</v>
      </c>
      <c r="I31" s="2629">
        <v>4</v>
      </c>
      <c r="J31" s="2629">
        <v>4.5</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40538</v>
      </c>
      <c r="D32" s="2629">
        <v>5.35</v>
      </c>
      <c r="E32" s="2629">
        <v>5.81</v>
      </c>
      <c r="F32" s="2629">
        <v>5.85</v>
      </c>
      <c r="G32" s="2629">
        <v>6.22</v>
      </c>
      <c r="H32" s="2629">
        <v>6.4</v>
      </c>
      <c r="I32" s="2629">
        <v>3.75</v>
      </c>
      <c r="J32" s="2629">
        <v>4.3</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40471</v>
      </c>
      <c r="D33" s="2629">
        <v>5.0999999999999996</v>
      </c>
      <c r="E33" s="2629">
        <v>5.56</v>
      </c>
      <c r="F33" s="2629">
        <v>5.6</v>
      </c>
      <c r="G33" s="2629">
        <v>5.96</v>
      </c>
      <c r="H33" s="2629">
        <v>6.14</v>
      </c>
      <c r="I33" s="2629">
        <v>3.5</v>
      </c>
      <c r="J33" s="2629">
        <v>4.05</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39805</v>
      </c>
      <c r="D34" s="2629">
        <v>4.8600000000000003</v>
      </c>
      <c r="E34" s="2629">
        <v>5.31</v>
      </c>
      <c r="F34" s="2629">
        <v>5.4</v>
      </c>
      <c r="G34" s="2629">
        <v>5.76</v>
      </c>
      <c r="H34" s="2629">
        <v>5.94</v>
      </c>
      <c r="I34" s="2629">
        <v>3.33</v>
      </c>
      <c r="J34" s="2629">
        <v>3.87</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39779</v>
      </c>
      <c r="D35" s="2629">
        <v>5.04</v>
      </c>
      <c r="E35" s="2629">
        <v>5.58</v>
      </c>
      <c r="F35" s="2629">
        <v>5.67</v>
      </c>
      <c r="G35" s="2629">
        <v>5.94</v>
      </c>
      <c r="H35" s="2629">
        <v>6.12</v>
      </c>
      <c r="I35" s="2629">
        <v>3.51</v>
      </c>
      <c r="J35" s="2629">
        <v>4.05</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39751</v>
      </c>
      <c r="D36" s="2629">
        <v>6.03</v>
      </c>
      <c r="E36" s="2629">
        <v>6.66</v>
      </c>
      <c r="F36" s="2629">
        <v>6.75</v>
      </c>
      <c r="G36" s="2629">
        <v>7.02</v>
      </c>
      <c r="H36" s="2629">
        <v>7.2</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1">
        <v>39748</v>
      </c>
      <c r="D37" s="2629">
        <v>6.12</v>
      </c>
      <c r="E37" s="2629">
        <v>6.93</v>
      </c>
      <c r="F37" s="2629">
        <v>7.02</v>
      </c>
      <c r="G37" s="2629">
        <v>7.29</v>
      </c>
      <c r="H37" s="2629">
        <v>7.47</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39730</v>
      </c>
      <c r="D38" s="2629">
        <v>6.12</v>
      </c>
      <c r="E38" s="2629">
        <v>6.93</v>
      </c>
      <c r="F38" s="2629">
        <v>7.02</v>
      </c>
      <c r="G38" s="2629">
        <v>7.29</v>
      </c>
      <c r="H38" s="2629">
        <v>7.47</v>
      </c>
      <c r="I38" s="2629">
        <v>4.32</v>
      </c>
      <c r="J38" s="2629">
        <v>4.8600000000000003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39707</v>
      </c>
      <c r="D39" s="2629">
        <v>6.21</v>
      </c>
      <c r="E39" s="2629">
        <v>7.2</v>
      </c>
      <c r="F39" s="2629">
        <v>7.29</v>
      </c>
      <c r="G39" s="2629">
        <v>7.56</v>
      </c>
      <c r="H39" s="2629">
        <v>7.74</v>
      </c>
      <c r="I39" s="2629">
        <v>4.59</v>
      </c>
      <c r="J39" s="2629">
        <v>5.13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39437</v>
      </c>
      <c r="D40" s="2629">
        <v>6.57</v>
      </c>
      <c r="E40" s="2629">
        <v>7.47</v>
      </c>
      <c r="F40" s="2629">
        <v>7.56</v>
      </c>
      <c r="G40" s="2629">
        <v>7.74</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39340</v>
      </c>
      <c r="D41" s="2629">
        <v>6.48</v>
      </c>
      <c r="E41" s="2629">
        <v>7.29</v>
      </c>
      <c r="F41" s="2629">
        <v>7.47</v>
      </c>
      <c r="G41" s="2629">
        <v>7.65</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39316</v>
      </c>
      <c r="D42" s="2629">
        <v>6.21</v>
      </c>
      <c r="E42" s="2629">
        <v>7.02</v>
      </c>
      <c r="F42" s="2629">
        <v>7.2</v>
      </c>
      <c r="G42" s="2629">
        <v>7.38</v>
      </c>
      <c r="H42" s="2629">
        <v>7.56</v>
      </c>
      <c r="I42" s="2629">
        <v>4.59</v>
      </c>
      <c r="J42" s="2629">
        <v>5.04</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2533</v>
      </c>
      <c r="Y42" s="2629" t="s">
        <v>2533</v>
      </c>
      <c r="Z42" s="2629" t="s">
        <v>2533</v>
      </c>
    </row>
    <row r="43" spans="2:26">
      <c r="B43" s="2629"/>
      <c r="C43" s="2630">
        <v>39284</v>
      </c>
      <c r="D43" s="2629">
        <v>6.03</v>
      </c>
      <c r="E43" s="2629">
        <v>6.84</v>
      </c>
      <c r="F43" s="2629">
        <v>7.02</v>
      </c>
      <c r="G43" s="2629">
        <v>7.2</v>
      </c>
      <c r="H43" s="2629">
        <v>7.38</v>
      </c>
      <c r="I43" s="2629">
        <v>4.5</v>
      </c>
      <c r="J43" s="2629">
        <v>4.95</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2533</v>
      </c>
      <c r="Y43" s="2629" t="s">
        <v>2533</v>
      </c>
      <c r="Z43" s="2629" t="s">
        <v>2533</v>
      </c>
    </row>
    <row r="44" spans="2:26">
      <c r="B44" s="2629"/>
      <c r="C44" s="2630">
        <v>39221</v>
      </c>
      <c r="D44" s="2629">
        <v>5.85</v>
      </c>
      <c r="E44" s="2629">
        <v>6.57</v>
      </c>
      <c r="F44" s="2629">
        <v>6.75</v>
      </c>
      <c r="G44" s="2629">
        <v>6.93</v>
      </c>
      <c r="H44" s="2629">
        <v>7.2</v>
      </c>
      <c r="I44" s="2629">
        <v>4.41</v>
      </c>
      <c r="J44" s="2629">
        <v>4.8600000000000003</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2533</v>
      </c>
      <c r="Y44" s="2629" t="s">
        <v>2533</v>
      </c>
      <c r="Z44" s="2629" t="s">
        <v>2533</v>
      </c>
    </row>
    <row r="45" spans="2:26">
      <c r="B45" s="2629"/>
      <c r="C45" s="2630">
        <v>39159</v>
      </c>
      <c r="D45" s="2629">
        <v>5.67</v>
      </c>
      <c r="E45" s="2629">
        <v>6.39</v>
      </c>
      <c r="F45" s="2629">
        <v>6.57</v>
      </c>
      <c r="G45" s="2629">
        <v>6.75</v>
      </c>
      <c r="H45" s="2629">
        <v>7.11</v>
      </c>
      <c r="I45" s="2629">
        <v>4.32</v>
      </c>
      <c r="J45" s="2629">
        <v>4.7699999999999996</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2533</v>
      </c>
      <c r="Y45" s="2629" t="s">
        <v>2533</v>
      </c>
      <c r="Z45" s="2629" t="s">
        <v>2533</v>
      </c>
    </row>
    <row r="46" spans="2:26">
      <c r="B46" s="2629"/>
      <c r="C46" s="2630">
        <v>38948</v>
      </c>
      <c r="D46" s="2629">
        <v>5.58</v>
      </c>
      <c r="E46" s="2629">
        <v>6.12</v>
      </c>
      <c r="F46" s="2629">
        <v>6.3</v>
      </c>
      <c r="G46" s="2629">
        <v>6.48</v>
      </c>
      <c r="H46" s="2629">
        <v>6.84</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2533</v>
      </c>
      <c r="Y46" s="2629" t="s">
        <v>2533</v>
      </c>
      <c r="Z46" s="2629" t="s">
        <v>2533</v>
      </c>
    </row>
    <row r="47" spans="2:26">
      <c r="B47" s="2629"/>
      <c r="C47" s="2630">
        <v>38835</v>
      </c>
      <c r="D47" s="2629">
        <v>5.4</v>
      </c>
      <c r="E47" s="2629">
        <v>5.85</v>
      </c>
      <c r="F47" s="2629">
        <v>6.03</v>
      </c>
      <c r="G47" s="2629">
        <v>6.12</v>
      </c>
      <c r="H47" s="2629">
        <v>6.39</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2533</v>
      </c>
      <c r="Y47" s="2629" t="s">
        <v>2533</v>
      </c>
      <c r="Z47" s="2629" t="s">
        <v>2533</v>
      </c>
    </row>
    <row r="48" spans="2:26">
      <c r="B48" s="2629"/>
      <c r="C48" s="2630">
        <v>38428</v>
      </c>
      <c r="D48" s="2629">
        <v>5.22</v>
      </c>
      <c r="E48" s="2629">
        <v>5.58</v>
      </c>
      <c r="F48" s="2629">
        <v>5.76</v>
      </c>
      <c r="G48" s="2629">
        <v>5.85</v>
      </c>
      <c r="H48" s="2629">
        <v>6.12</v>
      </c>
      <c r="I48" s="2629">
        <v>3.96</v>
      </c>
      <c r="J48" s="2629">
        <v>4.41</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2533</v>
      </c>
      <c r="Y48" s="2629" t="s">
        <v>2533</v>
      </c>
      <c r="Z48" s="2629" t="s">
        <v>2533</v>
      </c>
    </row>
    <row r="49" spans="2:26">
      <c r="B49" s="2629"/>
      <c r="C49" s="2630">
        <v>38289</v>
      </c>
      <c r="D49" s="2629">
        <v>5.22</v>
      </c>
      <c r="E49" s="2629">
        <v>5.58</v>
      </c>
      <c r="F49" s="2629">
        <v>5.76</v>
      </c>
      <c r="G49" s="2629">
        <v>5.85</v>
      </c>
      <c r="H49" s="2629">
        <v>6.12</v>
      </c>
      <c r="I49" s="2629">
        <v>3.78</v>
      </c>
      <c r="J49" s="2629">
        <v>4.2300000000000004</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2533</v>
      </c>
      <c r="Y49" s="2629" t="s">
        <v>2533</v>
      </c>
      <c r="Z49" s="2629" t="s">
        <v>2533</v>
      </c>
    </row>
    <row r="50" spans="2:26">
      <c r="B50" s="2629"/>
      <c r="C50" s="2630">
        <v>37308</v>
      </c>
      <c r="D50" s="2629">
        <v>5.04</v>
      </c>
      <c r="E50" s="2629">
        <v>5.31</v>
      </c>
      <c r="F50" s="2629">
        <v>5.49</v>
      </c>
      <c r="G50" s="2629">
        <v>5.58</v>
      </c>
      <c r="H50" s="2629">
        <v>5.76</v>
      </c>
      <c r="I50" s="2629">
        <v>3.6</v>
      </c>
      <c r="J50" s="2629">
        <v>4.05</v>
      </c>
      <c r="L50" s="2629"/>
      <c r="M50" s="2630">
        <v>33106</v>
      </c>
      <c r="N50" s="2629">
        <v>2.16</v>
      </c>
      <c r="O50" s="2629">
        <v>4.32</v>
      </c>
      <c r="P50" s="2629">
        <v>6.48</v>
      </c>
      <c r="Q50" s="2629">
        <v>8.64</v>
      </c>
      <c r="R50" s="2629">
        <v>9.36</v>
      </c>
      <c r="S50" s="2629">
        <v>10.08</v>
      </c>
      <c r="T50" s="2629">
        <v>11.52</v>
      </c>
      <c r="U50" s="2629">
        <v>7.2</v>
      </c>
      <c r="V50" s="2629">
        <v>8.64</v>
      </c>
      <c r="W50" s="2629">
        <v>10.08</v>
      </c>
      <c r="X50" s="2629" t="s">
        <v>2533</v>
      </c>
      <c r="Y50" s="2629" t="s">
        <v>2533</v>
      </c>
      <c r="Z50" s="2629" t="s">
        <v>2533</v>
      </c>
    </row>
    <row r="51" spans="2:26">
      <c r="B51" s="2629"/>
      <c r="C51" s="2630">
        <v>36321</v>
      </c>
      <c r="D51" s="2629">
        <v>5.58</v>
      </c>
      <c r="E51" s="2629">
        <v>5.85</v>
      </c>
      <c r="F51" s="2629">
        <v>5.94</v>
      </c>
      <c r="G51" s="2629">
        <v>6.03</v>
      </c>
      <c r="H51" s="2629">
        <v>6.21</v>
      </c>
      <c r="I51" s="2629">
        <v>4.1399999999999997</v>
      </c>
      <c r="J51" s="2629">
        <v>4.59</v>
      </c>
      <c r="L51" s="2629"/>
      <c r="M51" s="2630">
        <v>32978</v>
      </c>
      <c r="N51" s="2629">
        <v>2.88</v>
      </c>
      <c r="O51" s="2629">
        <v>6.3</v>
      </c>
      <c r="P51" s="2629">
        <v>7.74</v>
      </c>
      <c r="Q51" s="2629">
        <v>10.08</v>
      </c>
      <c r="R51" s="2629">
        <v>10.98</v>
      </c>
      <c r="S51" s="2629">
        <v>11.88</v>
      </c>
      <c r="T51" s="2629">
        <v>13.68</v>
      </c>
      <c r="U51" s="2629" t="s">
        <v>2533</v>
      </c>
      <c r="V51" s="2629" t="s">
        <v>2533</v>
      </c>
      <c r="W51" s="2629" t="s">
        <v>2533</v>
      </c>
      <c r="X51" s="2629" t="s">
        <v>2533</v>
      </c>
      <c r="Y51" s="2629" t="s">
        <v>2533</v>
      </c>
      <c r="Z51" s="2629" t="s">
        <v>2533</v>
      </c>
    </row>
    <row r="52" spans="2:26">
      <c r="B52" s="2629"/>
      <c r="C52" s="2630">
        <v>36136</v>
      </c>
      <c r="D52" s="2629">
        <v>6.12</v>
      </c>
      <c r="E52" s="2629">
        <v>6.39</v>
      </c>
      <c r="F52" s="2629">
        <v>6.66</v>
      </c>
      <c r="G52" s="2629">
        <v>7.2</v>
      </c>
      <c r="H52" s="2629">
        <v>7.56</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35977</v>
      </c>
      <c r="D53" s="2629">
        <v>6.57</v>
      </c>
      <c r="E53" s="2629">
        <v>6.93</v>
      </c>
      <c r="F53" s="2629">
        <v>7.11</v>
      </c>
      <c r="G53" s="2629">
        <v>7.65</v>
      </c>
      <c r="H53" s="2629">
        <v>8.01</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35879</v>
      </c>
      <c r="D54" s="2629">
        <v>7.02</v>
      </c>
      <c r="E54" s="2629">
        <v>7.92</v>
      </c>
      <c r="F54" s="2629">
        <v>9</v>
      </c>
      <c r="G54" s="2629">
        <v>9.7200000000000006</v>
      </c>
      <c r="H54" s="2629">
        <v>10.35</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35726</v>
      </c>
      <c r="D55" s="2629">
        <v>7.65</v>
      </c>
      <c r="E55" s="2629">
        <v>8.64</v>
      </c>
      <c r="F55" s="2629">
        <v>9.36</v>
      </c>
      <c r="G55" s="2629">
        <v>9.9</v>
      </c>
      <c r="H55" s="2629">
        <v>10.53</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35300</v>
      </c>
      <c r="D56" s="2629">
        <v>9.18</v>
      </c>
      <c r="E56" s="2629">
        <v>10.08</v>
      </c>
      <c r="F56" s="2629">
        <v>10.98</v>
      </c>
      <c r="G56" s="2629">
        <v>11.7</v>
      </c>
      <c r="H56" s="2629">
        <v>12.42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35186</v>
      </c>
      <c r="D57" s="2629">
        <v>9.7200000000000006</v>
      </c>
      <c r="E57" s="2629">
        <v>10.98</v>
      </c>
      <c r="F57" s="2629">
        <v>13.14</v>
      </c>
      <c r="G57" s="2629">
        <v>14.94</v>
      </c>
      <c r="H57" s="2629">
        <v>15.12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34881</v>
      </c>
      <c r="D58" s="2629">
        <v>10.08</v>
      </c>
      <c r="E58" s="2629">
        <v>12.06</v>
      </c>
      <c r="F58" s="2629">
        <v>13.5</v>
      </c>
      <c r="G58" s="2629">
        <v>15.12</v>
      </c>
      <c r="H58" s="2629">
        <v>15.3</v>
      </c>
      <c r="I58" s="2629">
        <v>0</v>
      </c>
      <c r="J58" s="2629">
        <v>0</v>
      </c>
    </row>
    <row r="59" spans="2:26">
      <c r="B59" s="2629"/>
      <c r="C59" s="2630">
        <v>34700</v>
      </c>
      <c r="D59" s="2629">
        <v>9</v>
      </c>
      <c r="E59" s="2629">
        <v>10.98</v>
      </c>
      <c r="F59" s="2629">
        <v>12.96</v>
      </c>
      <c r="G59" s="2629">
        <v>14.58</v>
      </c>
      <c r="H59" s="2629">
        <v>14.76</v>
      </c>
      <c r="I59" s="2629">
        <v>0</v>
      </c>
      <c r="J59" s="2629">
        <v>0</v>
      </c>
    </row>
    <row r="60" spans="2:26">
      <c r="B60" s="2629"/>
      <c r="C60" s="2630">
        <v>34161</v>
      </c>
      <c r="D60" s="2629">
        <v>9</v>
      </c>
      <c r="E60" s="2629">
        <v>10.98</v>
      </c>
      <c r="F60" s="2629">
        <v>12.24</v>
      </c>
      <c r="G60" s="2629">
        <v>13.86</v>
      </c>
      <c r="H60" s="2629">
        <v>14.04</v>
      </c>
      <c r="I60" s="2629">
        <v>0</v>
      </c>
      <c r="J60" s="2629">
        <v>0</v>
      </c>
    </row>
    <row r="61" spans="2:26">
      <c r="B61" s="2629"/>
      <c r="C61" s="2630">
        <v>34104</v>
      </c>
      <c r="D61" s="2629">
        <v>8.82</v>
      </c>
      <c r="E61" s="2629">
        <v>9.36</v>
      </c>
      <c r="F61" s="2629">
        <v>10.8</v>
      </c>
      <c r="G61" s="2629">
        <v>12.06</v>
      </c>
      <c r="H61" s="2629">
        <v>12.24</v>
      </c>
      <c r="I61" s="2629">
        <v>0</v>
      </c>
      <c r="J61" s="2629">
        <v>0</v>
      </c>
    </row>
    <row r="62" spans="2:26">
      <c r="B62" s="2629"/>
      <c r="C62" s="2630">
        <v>33349</v>
      </c>
      <c r="D62" s="2629">
        <v>8.1</v>
      </c>
      <c r="E62" s="2629">
        <v>8.64</v>
      </c>
      <c r="F62" s="2629">
        <v>9</v>
      </c>
      <c r="G62" s="2629">
        <v>9.5399999999999991</v>
      </c>
      <c r="H62" s="2629">
        <v>9.7200000000000006</v>
      </c>
      <c r="I62" s="2629">
        <v>0</v>
      </c>
      <c r="J62" s="2629">
        <v>0</v>
      </c>
    </row>
    <row r="63" spans="2:26">
      <c r="B63" s="2629"/>
      <c r="C63" s="2630">
        <v>33318</v>
      </c>
      <c r="D63" s="2629">
        <v>9</v>
      </c>
      <c r="E63" s="2629">
        <v>10.08</v>
      </c>
      <c r="F63" s="2629">
        <v>10.8</v>
      </c>
      <c r="G63" s="2629">
        <v>11.52</v>
      </c>
      <c r="H63" s="2629">
        <v>11.88</v>
      </c>
      <c r="I63" s="2629" t="s">
        <v>2533</v>
      </c>
      <c r="J63" s="2629" t="s">
        <v>2533</v>
      </c>
    </row>
    <row r="64" spans="2:26">
      <c r="B64" s="2629"/>
      <c r="C64" s="2630">
        <v>33106</v>
      </c>
      <c r="D64" s="2629">
        <v>8.64</v>
      </c>
      <c r="E64" s="2629">
        <v>9.36</v>
      </c>
      <c r="F64" s="2629">
        <v>10.08</v>
      </c>
      <c r="G64" s="2629">
        <v>10.8</v>
      </c>
      <c r="H64" s="2629">
        <v>11.16</v>
      </c>
      <c r="I64" s="2629">
        <v>0</v>
      </c>
      <c r="J64" s="2629">
        <v>0</v>
      </c>
    </row>
    <row r="65" spans="2:10">
      <c r="B65" s="2629"/>
      <c r="C65" s="2630">
        <v>32540</v>
      </c>
      <c r="D65" s="2629">
        <v>11.34</v>
      </c>
      <c r="E65" s="2629">
        <v>11.34</v>
      </c>
      <c r="F65" s="2629">
        <v>12.78</v>
      </c>
      <c r="G65" s="2629">
        <v>14.4</v>
      </c>
      <c r="H65" s="2629">
        <v>19.260000000000002</v>
      </c>
      <c r="I65" s="2629">
        <v>0</v>
      </c>
      <c r="J65" s="2629">
        <v>0</v>
      </c>
    </row>
    <row r="66" spans="2:10">
      <c r="B66" s="2629"/>
      <c r="C66" s="2630"/>
      <c r="D66" s="2629"/>
      <c r="E66" s="2629"/>
      <c r="F66" s="2629"/>
      <c r="G66" s="2629"/>
      <c r="H66" s="2629"/>
      <c r="I66" s="2629"/>
      <c r="J66" s="2629"/>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580"/>
      <c r="C70" s="2580"/>
      <c r="D70" s="2580"/>
      <c r="E70" s="2580"/>
      <c r="F70" s="2580"/>
      <c r="G70" s="2580"/>
      <c r="H70" s="2580"/>
      <c r="I70" s="2580"/>
      <c r="J70" s="2580"/>
    </row>
    <row r="71" spans="2:10">
      <c r="B71" s="2580"/>
      <c r="C71" s="2580"/>
      <c r="D71" s="2580"/>
      <c r="E71" s="2580"/>
      <c r="F71" s="2580"/>
      <c r="G71" s="2580"/>
      <c r="H71" s="2580"/>
      <c r="I71" s="2580"/>
      <c r="J71" s="2580"/>
    </row>
  </sheetData>
  <sheetProtection password="CEE9" sheet="1" objects="1" scenarios="1"/>
  <phoneticPr fontId="22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1"/>
  <sheetViews>
    <sheetView topLeftCell="D1" workbookViewId="0">
      <selection activeCell="AH22" sqref="AH22"/>
    </sheetView>
  </sheetViews>
  <sheetFormatPr defaultColWidth="9" defaultRowHeight="12"/>
  <cols>
    <col min="1" max="1" width="38" style="3512" customWidth="1"/>
    <col min="2" max="2" width="11.5" style="3512" customWidth="1"/>
    <col min="3" max="3" width="8.25" style="3512" customWidth="1"/>
    <col min="4" max="4" width="20" style="3512" customWidth="1"/>
    <col min="5" max="5" width="12.5" style="3512" customWidth="1"/>
    <col min="6" max="6" width="11" style="3512" customWidth="1"/>
    <col min="7" max="7" width="11.5" style="3512" customWidth="1"/>
    <col min="8" max="8" width="20" style="3512" customWidth="1"/>
    <col min="9" max="13" width="20" style="3512" hidden="1" customWidth="1"/>
    <col min="14" max="14" width="20" style="3512" customWidth="1"/>
    <col min="15" max="16" width="20" style="3512" hidden="1" customWidth="1"/>
    <col min="17" max="17" width="8.875" style="3512" hidden="1" customWidth="1"/>
    <col min="18" max="22" width="20" style="3512" hidden="1" customWidth="1"/>
    <col min="23" max="23" width="10.25" style="3512" customWidth="1"/>
    <col min="24" max="24" width="20" style="3512" hidden="1" customWidth="1"/>
    <col min="25" max="25" width="20" style="3512" customWidth="1"/>
    <col min="26" max="29" width="20" style="3512" hidden="1" customWidth="1"/>
    <col min="30" max="30" width="11.375" style="3512" customWidth="1"/>
    <col min="31" max="31" width="20" style="3512" hidden="1" customWidth="1"/>
    <col min="32" max="32" width="11.125" style="3512" customWidth="1"/>
    <col min="33" max="33" width="20" style="3512" hidden="1" customWidth="1"/>
    <col min="34" max="34" width="11.25" style="3512" customWidth="1"/>
    <col min="35" max="35" width="20" style="3512" hidden="1" customWidth="1"/>
    <col min="36" max="36" width="8.375" style="3512" customWidth="1"/>
    <col min="37" max="37" width="8.875" style="3512" customWidth="1"/>
    <col min="38" max="38" width="16.5" style="3512" customWidth="1"/>
    <col min="39" max="44" width="20" style="3512" customWidth="1"/>
    <col min="45" max="16384" width="9" style="3512"/>
  </cols>
  <sheetData>
    <row r="1" spans="1:43">
      <c r="A1" s="3512" t="s">
        <v>3382</v>
      </c>
      <c r="B1" s="3512" t="s">
        <v>3383</v>
      </c>
      <c r="C1" s="3512" t="s">
        <v>3384</v>
      </c>
      <c r="D1" s="3512" t="s">
        <v>3385</v>
      </c>
      <c r="E1" s="3512" t="s">
        <v>3386</v>
      </c>
      <c r="F1" s="3512" t="s">
        <v>3387</v>
      </c>
      <c r="G1" s="3512" t="s">
        <v>1824</v>
      </c>
      <c r="H1" s="3512" t="s">
        <v>3388</v>
      </c>
      <c r="I1" s="3512" t="s">
        <v>3389</v>
      </c>
      <c r="J1" s="3512" t="s">
        <v>3390</v>
      </c>
      <c r="K1" s="3512" t="s">
        <v>3391</v>
      </c>
      <c r="L1" s="3512" t="s">
        <v>3392</v>
      </c>
      <c r="M1" s="3512" t="s">
        <v>3393</v>
      </c>
      <c r="N1" s="3512" t="s">
        <v>3394</v>
      </c>
      <c r="O1" s="3512" t="s">
        <v>3395</v>
      </c>
      <c r="P1" s="3512" t="s">
        <v>3396</v>
      </c>
      <c r="Q1" s="3512" t="s">
        <v>3397</v>
      </c>
      <c r="R1" s="3512" t="s">
        <v>3398</v>
      </c>
      <c r="S1" s="3512" t="s">
        <v>3399</v>
      </c>
      <c r="T1" s="3512" t="s">
        <v>3400</v>
      </c>
      <c r="U1" s="3512" t="s">
        <v>3401</v>
      </c>
      <c r="V1" s="3512" t="s">
        <v>3402</v>
      </c>
      <c r="W1" s="3512" t="s">
        <v>3403</v>
      </c>
      <c r="X1" s="3512" t="s">
        <v>3404</v>
      </c>
      <c r="Y1" s="3512" t="s">
        <v>3405</v>
      </c>
      <c r="Z1" s="3512" t="s">
        <v>3406</v>
      </c>
      <c r="AA1" s="3512" t="s">
        <v>3407</v>
      </c>
      <c r="AB1" s="3512" t="s">
        <v>3408</v>
      </c>
      <c r="AC1" s="3512" t="s">
        <v>3409</v>
      </c>
      <c r="AD1" s="3512" t="s">
        <v>3410</v>
      </c>
      <c r="AE1" s="3512" t="s">
        <v>3411</v>
      </c>
      <c r="AF1" s="3512" t="s">
        <v>3412</v>
      </c>
      <c r="AG1" s="3512" t="s">
        <v>3413</v>
      </c>
      <c r="AH1" s="3512" t="s">
        <v>3414</v>
      </c>
      <c r="AI1" s="3512" t="s">
        <v>3415</v>
      </c>
      <c r="AJ1" s="3512" t="s">
        <v>3416</v>
      </c>
      <c r="AK1" s="3512" t="s">
        <v>3417</v>
      </c>
      <c r="AL1" s="3512" t="s">
        <v>3418</v>
      </c>
      <c r="AM1" s="3512" t="s">
        <v>3419</v>
      </c>
      <c r="AN1" s="3512" t="s">
        <v>3420</v>
      </c>
      <c r="AO1" s="3512" t="s">
        <v>3421</v>
      </c>
      <c r="AP1" s="3512" t="s">
        <v>3422</v>
      </c>
      <c r="AQ1" s="3512" t="s">
        <v>3423</v>
      </c>
    </row>
    <row r="2" spans="1:43">
      <c r="A2" s="3512" t="s">
        <v>3424</v>
      </c>
      <c r="B2" s="3512" t="s">
        <v>3425</v>
      </c>
      <c r="C2" s="3512" t="s">
        <v>3426</v>
      </c>
      <c r="D2" s="3512" t="s">
        <v>3427</v>
      </c>
      <c r="E2" s="3512">
        <v>16675.650000000001</v>
      </c>
      <c r="F2" s="3512">
        <v>43356.69</v>
      </c>
      <c r="G2" s="3512" t="s">
        <v>3428</v>
      </c>
      <c r="H2" s="3512" t="s">
        <v>3429</v>
      </c>
      <c r="I2" s="3512" t="s">
        <v>3430</v>
      </c>
      <c r="J2" s="3512" t="s">
        <v>3431</v>
      </c>
      <c r="K2" s="3512" t="s">
        <v>3432</v>
      </c>
      <c r="L2" s="3512" t="s">
        <v>3433</v>
      </c>
      <c r="M2" s="3512" t="s">
        <v>3434</v>
      </c>
      <c r="N2" s="3512" t="s">
        <v>3435</v>
      </c>
      <c r="O2" s="3512" t="s">
        <v>3436</v>
      </c>
      <c r="P2" s="3512" t="s">
        <v>3436</v>
      </c>
      <c r="Q2" s="3512" t="s">
        <v>3436</v>
      </c>
      <c r="R2" s="3512">
        <v>0</v>
      </c>
      <c r="S2" s="3512">
        <v>0</v>
      </c>
      <c r="T2" s="3513">
        <v>44644.000497685185</v>
      </c>
      <c r="U2" s="3513">
        <v>44664.000497685185</v>
      </c>
      <c r="V2" s="3513">
        <v>44673.000497685185</v>
      </c>
      <c r="W2" s="3513">
        <v>44673.000497685185</v>
      </c>
      <c r="X2" s="3512" t="s">
        <v>3437</v>
      </c>
      <c r="Y2" s="3512" t="s">
        <v>3438</v>
      </c>
      <c r="Z2" s="3512" t="s">
        <v>3439</v>
      </c>
      <c r="AA2" s="3512">
        <v>89500</v>
      </c>
      <c r="AB2" s="3512">
        <v>17900</v>
      </c>
      <c r="AC2" s="3512" t="s">
        <v>3440</v>
      </c>
      <c r="AD2" s="3512">
        <v>89500</v>
      </c>
      <c r="AE2" s="3512">
        <v>3578.07</v>
      </c>
      <c r="AF2" s="3512">
        <v>3578.07</v>
      </c>
      <c r="AG2" s="3512">
        <v>20643</v>
      </c>
      <c r="AH2" s="3512">
        <v>20643</v>
      </c>
      <c r="AI2" s="3512" t="s">
        <v>3436</v>
      </c>
      <c r="AJ2" s="3512" t="s">
        <v>3436</v>
      </c>
      <c r="AK2" s="3512">
        <v>0</v>
      </c>
      <c r="AL2" s="3512" t="s">
        <v>3441</v>
      </c>
      <c r="AM2" s="3512" t="s">
        <v>3442</v>
      </c>
      <c r="AN2" s="3512" t="s">
        <v>3443</v>
      </c>
      <c r="AO2" s="3512" t="s">
        <v>3444</v>
      </c>
      <c r="AP2" s="3512" t="s">
        <v>3445</v>
      </c>
      <c r="AQ2" s="3512" t="s">
        <v>3446</v>
      </c>
    </row>
    <row r="3" spans="1:43">
      <c r="A3" s="3512" t="s">
        <v>3447</v>
      </c>
      <c r="B3" s="3512" t="s">
        <v>3448</v>
      </c>
      <c r="C3" s="3512" t="s">
        <v>3449</v>
      </c>
      <c r="D3" s="3512" t="s">
        <v>3427</v>
      </c>
      <c r="E3" s="3512">
        <v>77958.009999999995</v>
      </c>
      <c r="F3" s="3512">
        <v>199205.01</v>
      </c>
      <c r="G3" s="3512" t="s">
        <v>3450</v>
      </c>
      <c r="H3" s="3512" t="s">
        <v>3451</v>
      </c>
      <c r="I3" s="3512" t="s">
        <v>3430</v>
      </c>
      <c r="J3" s="3512" t="s">
        <v>3452</v>
      </c>
      <c r="K3" s="3512" t="s">
        <v>3453</v>
      </c>
      <c r="L3" s="3512" t="s">
        <v>3454</v>
      </c>
      <c r="M3" s="3512" t="s">
        <v>3434</v>
      </c>
      <c r="N3" s="3512" t="s">
        <v>3435</v>
      </c>
      <c r="O3" s="3512" t="s">
        <v>3436</v>
      </c>
      <c r="P3" s="3512" t="s">
        <v>3436</v>
      </c>
      <c r="Q3" s="3512" t="s">
        <v>3436</v>
      </c>
      <c r="R3" s="3512">
        <v>0</v>
      </c>
      <c r="S3" s="3512">
        <v>0</v>
      </c>
      <c r="T3" s="3513">
        <v>44644.000497685185</v>
      </c>
      <c r="U3" s="3513">
        <v>44664.000497685185</v>
      </c>
      <c r="V3" s="3513">
        <v>44673.000497685185</v>
      </c>
      <c r="W3" s="3513">
        <v>44673.000497685185</v>
      </c>
      <c r="X3" s="3512" t="s">
        <v>3437</v>
      </c>
      <c r="Y3" s="3512" t="s">
        <v>3455</v>
      </c>
      <c r="Z3" s="3512" t="s">
        <v>3456</v>
      </c>
      <c r="AA3" s="3512">
        <v>189000</v>
      </c>
      <c r="AB3" s="3512">
        <v>37800</v>
      </c>
      <c r="AC3" s="3512" t="s">
        <v>3440</v>
      </c>
      <c r="AD3" s="3512">
        <v>189000</v>
      </c>
      <c r="AE3" s="3512">
        <v>1616.25</v>
      </c>
      <c r="AF3" s="3512">
        <v>1616.25</v>
      </c>
      <c r="AG3" s="3512">
        <v>9488</v>
      </c>
      <c r="AH3" s="3512">
        <v>9488</v>
      </c>
      <c r="AI3" s="3512" t="s">
        <v>3436</v>
      </c>
      <c r="AJ3" s="3512" t="s">
        <v>3436</v>
      </c>
      <c r="AK3" s="3512">
        <v>0</v>
      </c>
      <c r="AL3" s="3512" t="s">
        <v>3441</v>
      </c>
      <c r="AM3" s="3512" t="s">
        <v>3457</v>
      </c>
      <c r="AN3" s="3512" t="s">
        <v>3443</v>
      </c>
      <c r="AO3" s="3512" t="s">
        <v>3458</v>
      </c>
      <c r="AP3" s="3512" t="s">
        <v>3459</v>
      </c>
      <c r="AQ3" s="3512" t="s">
        <v>3460</v>
      </c>
    </row>
    <row r="4" spans="1:43">
      <c r="A4" s="3512" t="s">
        <v>3461</v>
      </c>
      <c r="B4" s="3512" t="s">
        <v>3462</v>
      </c>
      <c r="C4" s="3512" t="s">
        <v>3426</v>
      </c>
      <c r="D4" s="3512" t="s">
        <v>3463</v>
      </c>
      <c r="E4" s="3512">
        <v>32753.97</v>
      </c>
      <c r="F4" s="3512">
        <v>85160.320000000007</v>
      </c>
      <c r="G4" s="3512" t="s">
        <v>3428</v>
      </c>
      <c r="H4" s="3512" t="s">
        <v>3429</v>
      </c>
      <c r="I4" s="3512" t="s">
        <v>3430</v>
      </c>
      <c r="J4" s="3512" t="s">
        <v>3443</v>
      </c>
      <c r="K4" s="3512" t="s">
        <v>3432</v>
      </c>
      <c r="L4" s="3512" t="s">
        <v>3433</v>
      </c>
      <c r="M4" s="3512" t="s">
        <v>3434</v>
      </c>
      <c r="N4" s="3512" t="s">
        <v>3435</v>
      </c>
      <c r="O4" s="3512" t="s">
        <v>3436</v>
      </c>
      <c r="P4" s="3512" t="s">
        <v>3436</v>
      </c>
      <c r="Q4" s="3512" t="s">
        <v>3436</v>
      </c>
      <c r="R4" s="3512">
        <v>0</v>
      </c>
      <c r="S4" s="3512">
        <v>0</v>
      </c>
      <c r="T4" s="3513">
        <v>44644.000497685185</v>
      </c>
      <c r="U4" s="3513">
        <v>44664.000497685185</v>
      </c>
      <c r="V4" s="3513">
        <v>44673.000497685185</v>
      </c>
      <c r="W4" s="3513">
        <v>44673.000497685185</v>
      </c>
      <c r="X4" s="3512" t="s">
        <v>3437</v>
      </c>
      <c r="Y4" s="3512" t="s">
        <v>3438</v>
      </c>
      <c r="Z4" s="3512" t="s">
        <v>3439</v>
      </c>
      <c r="AA4" s="3512">
        <v>175000</v>
      </c>
      <c r="AB4" s="3512">
        <v>35000</v>
      </c>
      <c r="AC4" s="3512" t="s">
        <v>3440</v>
      </c>
      <c r="AD4" s="3512">
        <v>175000</v>
      </c>
      <c r="AE4" s="3512">
        <v>3561.91</v>
      </c>
      <c r="AF4" s="3512">
        <v>3561.91</v>
      </c>
      <c r="AG4" s="3512">
        <v>20549</v>
      </c>
      <c r="AH4" s="3512">
        <v>20549</v>
      </c>
      <c r="AI4" s="3512" t="s">
        <v>3436</v>
      </c>
      <c r="AJ4" s="3512" t="s">
        <v>3436</v>
      </c>
      <c r="AK4" s="3512">
        <v>0</v>
      </c>
      <c r="AL4" s="3512" t="s">
        <v>3464</v>
      </c>
      <c r="AM4" s="3512" t="s">
        <v>3465</v>
      </c>
      <c r="AN4" s="3512" t="s">
        <v>3443</v>
      </c>
      <c r="AO4" s="3512" t="s">
        <v>3466</v>
      </c>
      <c r="AP4" s="3512" t="s">
        <v>3459</v>
      </c>
      <c r="AQ4" s="3512" t="s">
        <v>3467</v>
      </c>
    </row>
    <row r="5" spans="1:43">
      <c r="A5" s="3512" t="s">
        <v>3468</v>
      </c>
      <c r="B5" s="3512" t="s">
        <v>3469</v>
      </c>
      <c r="C5" s="3512" t="s">
        <v>3470</v>
      </c>
      <c r="D5" s="3512" t="s">
        <v>3427</v>
      </c>
      <c r="E5" s="3512">
        <v>41101.550000000003</v>
      </c>
      <c r="F5" s="3512">
        <v>123304.65</v>
      </c>
      <c r="G5" s="3512" t="s">
        <v>3471</v>
      </c>
      <c r="H5" s="3512" t="s">
        <v>3472</v>
      </c>
      <c r="I5" s="3512" t="s">
        <v>3473</v>
      </c>
      <c r="J5" s="3512" t="s">
        <v>3474</v>
      </c>
      <c r="K5" s="3512" t="s">
        <v>3475</v>
      </c>
      <c r="L5" s="3512" t="s">
        <v>3454</v>
      </c>
      <c r="M5" s="3512" t="s">
        <v>3434</v>
      </c>
      <c r="N5" s="3512" t="s">
        <v>3436</v>
      </c>
      <c r="O5" s="3512" t="s">
        <v>3436</v>
      </c>
      <c r="P5" s="3512" t="s">
        <v>3436</v>
      </c>
      <c r="Q5" s="3512" t="s">
        <v>3436</v>
      </c>
      <c r="R5" s="3512">
        <v>0</v>
      </c>
      <c r="S5" s="3512">
        <v>0</v>
      </c>
      <c r="T5" s="3513">
        <v>44493.000497685185</v>
      </c>
      <c r="U5" s="3513">
        <v>44513.000497685185</v>
      </c>
      <c r="V5" s="3513">
        <v>44525.000497685185</v>
      </c>
      <c r="W5" s="3513">
        <v>44525.000497685185</v>
      </c>
      <c r="X5" s="3512" t="s">
        <v>3437</v>
      </c>
      <c r="Y5" s="3512" t="s">
        <v>3476</v>
      </c>
      <c r="Z5" s="3512" t="s">
        <v>3477</v>
      </c>
      <c r="AA5" s="3512">
        <v>221000</v>
      </c>
      <c r="AB5" s="3512">
        <v>44200</v>
      </c>
      <c r="AC5" s="3512" t="s">
        <v>3478</v>
      </c>
      <c r="AD5" s="3512">
        <v>221000</v>
      </c>
      <c r="AE5" s="3512">
        <v>3584.62</v>
      </c>
      <c r="AF5" s="3512">
        <v>3584.62</v>
      </c>
      <c r="AG5" s="3512">
        <v>17923</v>
      </c>
      <c r="AH5" s="3512">
        <v>17923</v>
      </c>
      <c r="AI5" s="3512" t="s">
        <v>3436</v>
      </c>
      <c r="AJ5" s="3512" t="s">
        <v>3436</v>
      </c>
      <c r="AK5" s="3512">
        <v>0</v>
      </c>
      <c r="AL5" s="3512" t="s">
        <v>3479</v>
      </c>
      <c r="AM5" s="3512" t="s">
        <v>3480</v>
      </c>
      <c r="AN5" s="3512" t="s">
        <v>3443</v>
      </c>
      <c r="AO5" s="3512" t="s">
        <v>3481</v>
      </c>
      <c r="AP5" s="3512" t="s">
        <v>3482</v>
      </c>
      <c r="AQ5" s="3512" t="s">
        <v>3483</v>
      </c>
    </row>
    <row r="6" spans="1:43" s="3514" customFormat="1">
      <c r="A6" s="3514" t="s">
        <v>4036</v>
      </c>
      <c r="B6" s="3514" t="s">
        <v>3484</v>
      </c>
      <c r="C6" s="3514" t="s">
        <v>3485</v>
      </c>
      <c r="D6" s="3514" t="s">
        <v>3463</v>
      </c>
      <c r="E6" s="3514">
        <v>29592.880000000001</v>
      </c>
      <c r="F6" s="3514">
        <v>73982.2</v>
      </c>
      <c r="G6" s="3514" t="s">
        <v>3486</v>
      </c>
      <c r="H6" s="3514" t="s">
        <v>3487</v>
      </c>
      <c r="I6" s="3514" t="s">
        <v>3488</v>
      </c>
      <c r="J6" s="3514" t="s">
        <v>3431</v>
      </c>
      <c r="K6" s="3514" t="s">
        <v>3489</v>
      </c>
      <c r="L6" s="3514" t="s">
        <v>3433</v>
      </c>
      <c r="M6" s="3514" t="s">
        <v>3434</v>
      </c>
      <c r="N6" s="3514" t="s">
        <v>3490</v>
      </c>
      <c r="O6" s="3514" t="s">
        <v>3436</v>
      </c>
      <c r="P6" s="3514" t="s">
        <v>3436</v>
      </c>
      <c r="Q6" s="3514" t="s">
        <v>3436</v>
      </c>
      <c r="R6" s="3514">
        <v>0</v>
      </c>
      <c r="S6" s="3514">
        <v>0</v>
      </c>
      <c r="T6" s="3515">
        <v>44432.000497685185</v>
      </c>
      <c r="U6" s="3515">
        <v>44453.000497685185</v>
      </c>
      <c r="V6" s="3515">
        <v>44465.000497685185</v>
      </c>
      <c r="W6" s="3515">
        <v>44465.000497685185</v>
      </c>
      <c r="X6" s="3514" t="s">
        <v>3437</v>
      </c>
      <c r="Y6" s="3514" t="s">
        <v>3491</v>
      </c>
      <c r="Z6" s="3514" t="s">
        <v>3492</v>
      </c>
      <c r="AA6" s="3514">
        <v>109000</v>
      </c>
      <c r="AB6" s="3514">
        <v>21800</v>
      </c>
      <c r="AC6" s="3514" t="s">
        <v>3493</v>
      </c>
      <c r="AD6" s="3514">
        <v>120000</v>
      </c>
      <c r="AE6" s="3514">
        <v>2455.5500000000002</v>
      </c>
      <c r="AF6" s="3514">
        <v>2703.35</v>
      </c>
      <c r="AG6" s="3514">
        <v>14733</v>
      </c>
      <c r="AH6" s="3514">
        <v>16220</v>
      </c>
      <c r="AI6" s="3514" t="s">
        <v>3436</v>
      </c>
      <c r="AJ6" s="3514" t="s">
        <v>3436</v>
      </c>
      <c r="AK6" s="3514">
        <v>10.09</v>
      </c>
      <c r="AL6" s="3514" t="s">
        <v>3464</v>
      </c>
      <c r="AM6" s="3514" t="s">
        <v>3494</v>
      </c>
      <c r="AN6" s="3514" t="s">
        <v>3443</v>
      </c>
      <c r="AO6" s="3514" t="s">
        <v>3495</v>
      </c>
      <c r="AP6" s="3514" t="s">
        <v>3496</v>
      </c>
      <c r="AQ6" s="3514" t="s">
        <v>3497</v>
      </c>
    </row>
    <row r="7" spans="1:43">
      <c r="A7" s="3512" t="s">
        <v>3498</v>
      </c>
      <c r="B7" s="3512" t="s">
        <v>3499</v>
      </c>
      <c r="C7" s="3512" t="s">
        <v>3470</v>
      </c>
      <c r="D7" s="3512" t="s">
        <v>3463</v>
      </c>
      <c r="E7" s="3512">
        <v>49865.63</v>
      </c>
      <c r="F7" s="3512">
        <v>139623.76</v>
      </c>
      <c r="G7" s="3512" t="s">
        <v>3500</v>
      </c>
      <c r="H7" s="3512" t="s">
        <v>3487</v>
      </c>
      <c r="I7" s="3512" t="s">
        <v>3488</v>
      </c>
      <c r="J7" s="3512" t="s">
        <v>3501</v>
      </c>
      <c r="K7" s="3512" t="s">
        <v>3489</v>
      </c>
      <c r="L7" s="3512" t="s">
        <v>3454</v>
      </c>
      <c r="M7" s="3512" t="s">
        <v>3434</v>
      </c>
      <c r="N7" s="3512" t="s">
        <v>3434</v>
      </c>
      <c r="O7" s="3512" t="s">
        <v>3436</v>
      </c>
      <c r="P7" s="3512" t="s">
        <v>3436</v>
      </c>
      <c r="Q7" s="3512" t="s">
        <v>3436</v>
      </c>
      <c r="R7" s="3512">
        <v>0</v>
      </c>
      <c r="S7" s="3512">
        <v>0</v>
      </c>
      <c r="T7" s="3513">
        <v>44432.000497685185</v>
      </c>
      <c r="U7" s="3513">
        <v>44453.000497685185</v>
      </c>
      <c r="V7" s="3513">
        <v>44465.000497685185</v>
      </c>
      <c r="W7" s="3513">
        <v>44465.000497685185</v>
      </c>
      <c r="X7" s="3512" t="s">
        <v>3437</v>
      </c>
      <c r="Y7" s="3512" t="s">
        <v>3502</v>
      </c>
      <c r="Z7" s="3512" t="s">
        <v>3503</v>
      </c>
      <c r="AA7" s="3512">
        <v>258000</v>
      </c>
      <c r="AB7" s="3512">
        <v>129000</v>
      </c>
      <c r="AC7" s="3512" t="s">
        <v>3493</v>
      </c>
      <c r="AD7" s="3512">
        <v>296000</v>
      </c>
      <c r="AE7" s="3512">
        <v>3449.27</v>
      </c>
      <c r="AF7" s="3512">
        <v>3957.3</v>
      </c>
      <c r="AG7" s="3512">
        <v>18478</v>
      </c>
      <c r="AH7" s="3512">
        <v>21200</v>
      </c>
      <c r="AI7" s="3512" t="s">
        <v>3436</v>
      </c>
      <c r="AJ7" s="3512" t="s">
        <v>3436</v>
      </c>
      <c r="AK7" s="3512">
        <v>14.73</v>
      </c>
      <c r="AL7" s="3512" t="s">
        <v>3464</v>
      </c>
      <c r="AM7" s="3512" t="s">
        <v>3504</v>
      </c>
      <c r="AN7" s="3512" t="s">
        <v>3443</v>
      </c>
      <c r="AO7" s="3512" t="s">
        <v>3505</v>
      </c>
      <c r="AP7" s="3512" t="s">
        <v>3506</v>
      </c>
      <c r="AQ7" s="3512" t="s">
        <v>3507</v>
      </c>
    </row>
    <row r="8" spans="1:43">
      <c r="A8" s="3512" t="s">
        <v>3508</v>
      </c>
      <c r="B8" s="3512" t="s">
        <v>3509</v>
      </c>
      <c r="C8" s="3512" t="s">
        <v>3426</v>
      </c>
      <c r="D8" s="3512" t="s">
        <v>3463</v>
      </c>
      <c r="E8" s="3512">
        <v>52798.66</v>
      </c>
      <c r="F8" s="3512">
        <v>116157.05</v>
      </c>
      <c r="G8" s="3512" t="s">
        <v>3510</v>
      </c>
      <c r="H8" s="3512" t="s">
        <v>3487</v>
      </c>
      <c r="I8" s="3512" t="s">
        <v>3488</v>
      </c>
      <c r="J8" s="3512" t="s">
        <v>3443</v>
      </c>
      <c r="K8" s="3512" t="s">
        <v>3432</v>
      </c>
      <c r="L8" s="3512" t="s">
        <v>3511</v>
      </c>
      <c r="M8" s="3512" t="s">
        <v>3434</v>
      </c>
      <c r="N8" s="3512" t="s">
        <v>3490</v>
      </c>
      <c r="O8" s="3512" t="s">
        <v>3436</v>
      </c>
      <c r="P8" s="3512" t="s">
        <v>3436</v>
      </c>
      <c r="Q8" s="3512" t="s">
        <v>3436</v>
      </c>
      <c r="R8" s="3512">
        <v>0</v>
      </c>
      <c r="S8" s="3512">
        <v>0</v>
      </c>
      <c r="T8" s="3513">
        <v>44432.000497685185</v>
      </c>
      <c r="U8" s="3513">
        <v>44453.000497685185</v>
      </c>
      <c r="V8" s="3513">
        <v>44465.000497685185</v>
      </c>
      <c r="W8" s="3513">
        <v>44465.000497685185</v>
      </c>
      <c r="X8" s="3512" t="s">
        <v>3437</v>
      </c>
      <c r="Y8" s="3512" t="s">
        <v>3512</v>
      </c>
      <c r="Z8" s="3512" t="s">
        <v>3513</v>
      </c>
      <c r="AA8" s="3512">
        <v>227000</v>
      </c>
      <c r="AB8" s="3512">
        <v>113500</v>
      </c>
      <c r="AC8" s="3512" t="s">
        <v>3493</v>
      </c>
      <c r="AD8" s="3512">
        <v>227000</v>
      </c>
      <c r="AE8" s="3512">
        <v>2866.23</v>
      </c>
      <c r="AF8" s="3512">
        <v>2866.23</v>
      </c>
      <c r="AG8" s="3512">
        <v>19543</v>
      </c>
      <c r="AH8" s="3512">
        <v>19543</v>
      </c>
      <c r="AI8" s="3512" t="s">
        <v>3436</v>
      </c>
      <c r="AJ8" s="3512" t="s">
        <v>3436</v>
      </c>
      <c r="AK8" s="3512">
        <v>0</v>
      </c>
      <c r="AL8" s="3512" t="s">
        <v>3464</v>
      </c>
      <c r="AM8" s="3512" t="s">
        <v>3514</v>
      </c>
      <c r="AN8" s="3512" t="s">
        <v>3443</v>
      </c>
      <c r="AO8" s="3512" t="s">
        <v>3515</v>
      </c>
      <c r="AP8" s="3512" t="s">
        <v>3516</v>
      </c>
      <c r="AQ8" s="3512" t="s">
        <v>3517</v>
      </c>
    </row>
    <row r="9" spans="1:43">
      <c r="A9" s="3512" t="s">
        <v>3518</v>
      </c>
      <c r="B9" s="3512" t="s">
        <v>3519</v>
      </c>
      <c r="C9" s="3512" t="s">
        <v>3485</v>
      </c>
      <c r="D9" s="3512" t="s">
        <v>3463</v>
      </c>
      <c r="E9" s="3512">
        <v>51603.26</v>
      </c>
      <c r="F9" s="3512">
        <v>129008.15</v>
      </c>
      <c r="G9" s="3512" t="s">
        <v>3486</v>
      </c>
      <c r="H9" s="3512" t="s">
        <v>3487</v>
      </c>
      <c r="I9" s="3512" t="s">
        <v>3488</v>
      </c>
      <c r="J9" s="3512" t="s">
        <v>3431</v>
      </c>
      <c r="K9" s="3512" t="s">
        <v>3489</v>
      </c>
      <c r="L9" s="3512" t="s">
        <v>3433</v>
      </c>
      <c r="M9" s="3512" t="s">
        <v>3434</v>
      </c>
      <c r="N9" s="3512" t="s">
        <v>3490</v>
      </c>
      <c r="O9" s="3512" t="s">
        <v>3436</v>
      </c>
      <c r="P9" s="3512" t="s">
        <v>3436</v>
      </c>
      <c r="Q9" s="3512" t="s">
        <v>3436</v>
      </c>
      <c r="R9" s="3512">
        <v>0</v>
      </c>
      <c r="S9" s="3512">
        <v>0</v>
      </c>
      <c r="T9" s="3513">
        <v>44432.000497685185</v>
      </c>
      <c r="U9" s="3513">
        <v>44453.000497685185</v>
      </c>
      <c r="V9" s="3513">
        <v>44465.000497685185</v>
      </c>
      <c r="W9" s="3513">
        <v>44465.000497685185</v>
      </c>
      <c r="X9" s="3512" t="s">
        <v>3437</v>
      </c>
      <c r="Y9" s="3512" t="s">
        <v>3520</v>
      </c>
      <c r="Z9" s="3512" t="s">
        <v>3521</v>
      </c>
      <c r="AA9" s="3512">
        <v>178000</v>
      </c>
      <c r="AB9" s="3512">
        <v>35600</v>
      </c>
      <c r="AC9" s="3512" t="s">
        <v>3493</v>
      </c>
      <c r="AD9" s="3512">
        <v>178000</v>
      </c>
      <c r="AE9" s="3512">
        <v>2299.6</v>
      </c>
      <c r="AF9" s="3512">
        <v>2299.6</v>
      </c>
      <c r="AG9" s="3512">
        <v>13798</v>
      </c>
      <c r="AH9" s="3512">
        <v>13798</v>
      </c>
      <c r="AI9" s="3512" t="s">
        <v>3436</v>
      </c>
      <c r="AJ9" s="3512" t="s">
        <v>3436</v>
      </c>
      <c r="AK9" s="3512">
        <v>0</v>
      </c>
      <c r="AL9" s="3512" t="s">
        <v>3464</v>
      </c>
      <c r="AM9" s="3512" t="s">
        <v>3522</v>
      </c>
      <c r="AN9" s="3512" t="s">
        <v>3443</v>
      </c>
      <c r="AO9" s="3512" t="s">
        <v>3523</v>
      </c>
      <c r="AP9" s="3512" t="s">
        <v>3524</v>
      </c>
      <c r="AQ9" s="3512" t="s">
        <v>3525</v>
      </c>
    </row>
    <row r="10" spans="1:43">
      <c r="A10" s="3512" t="s">
        <v>3526</v>
      </c>
      <c r="B10" s="3512" t="s">
        <v>3527</v>
      </c>
      <c r="C10" s="3512" t="s">
        <v>3426</v>
      </c>
      <c r="D10" s="3512" t="s">
        <v>3463</v>
      </c>
      <c r="E10" s="3512">
        <v>70029.37</v>
      </c>
      <c r="F10" s="3512">
        <v>149162.56</v>
      </c>
      <c r="G10" s="3512" t="s">
        <v>3528</v>
      </c>
      <c r="H10" s="3512" t="s">
        <v>3429</v>
      </c>
      <c r="I10" s="3512" t="s">
        <v>3529</v>
      </c>
      <c r="J10" s="3512" t="s">
        <v>3443</v>
      </c>
      <c r="K10" s="3512" t="s">
        <v>3475</v>
      </c>
      <c r="L10" s="3512" t="s">
        <v>3511</v>
      </c>
      <c r="M10" s="3512" t="s">
        <v>3530</v>
      </c>
      <c r="N10" s="3512" t="s">
        <v>3530</v>
      </c>
      <c r="O10" s="3512" t="s">
        <v>3436</v>
      </c>
      <c r="P10" s="3512" t="s">
        <v>3531</v>
      </c>
      <c r="Q10" s="3512" t="s">
        <v>3531</v>
      </c>
      <c r="R10" s="3512">
        <v>0</v>
      </c>
      <c r="S10" s="3512">
        <v>0</v>
      </c>
      <c r="T10" s="3513">
        <v>44295.000497685185</v>
      </c>
      <c r="U10" s="3513">
        <v>44324.000497685185</v>
      </c>
      <c r="V10" s="3513">
        <v>44336.000497685185</v>
      </c>
      <c r="W10" s="3513">
        <v>44338.000497685185</v>
      </c>
      <c r="X10" s="3512" t="s">
        <v>3437</v>
      </c>
      <c r="Y10" s="3512" t="s">
        <v>3532</v>
      </c>
      <c r="Z10" s="3512" t="s">
        <v>3533</v>
      </c>
      <c r="AA10" s="3512">
        <v>293000</v>
      </c>
      <c r="AB10" s="3512">
        <v>58600</v>
      </c>
      <c r="AC10" s="3512" t="s">
        <v>3534</v>
      </c>
      <c r="AD10" s="3512">
        <v>381000</v>
      </c>
      <c r="AE10" s="3512">
        <v>2789.31</v>
      </c>
      <c r="AF10" s="3512">
        <v>3627.05</v>
      </c>
      <c r="AG10" s="3512">
        <v>19643</v>
      </c>
      <c r="AH10" s="3512">
        <v>25543</v>
      </c>
      <c r="AI10" s="3512" t="s">
        <v>3436</v>
      </c>
      <c r="AJ10" s="3512" t="s">
        <v>3436</v>
      </c>
      <c r="AK10" s="3512">
        <v>30.03</v>
      </c>
      <c r="AL10" s="3512" t="s">
        <v>3464</v>
      </c>
      <c r="AM10" s="3512" t="s">
        <v>3535</v>
      </c>
      <c r="AN10" s="3512" t="s">
        <v>3443</v>
      </c>
      <c r="AO10" s="3512" t="s">
        <v>3536</v>
      </c>
      <c r="AP10" s="3512" t="s">
        <v>3537</v>
      </c>
      <c r="AQ10" s="3512" t="s">
        <v>3538</v>
      </c>
    </row>
    <row r="11" spans="1:43">
      <c r="A11" s="3512" t="s">
        <v>3539</v>
      </c>
      <c r="B11" s="3512" t="s">
        <v>3540</v>
      </c>
      <c r="C11" s="3512" t="s">
        <v>3541</v>
      </c>
      <c r="D11" s="3512" t="s">
        <v>3463</v>
      </c>
      <c r="E11" s="3512">
        <v>13647.38</v>
      </c>
      <c r="F11" s="3512">
        <v>23200.55</v>
      </c>
      <c r="G11" s="3512" t="s">
        <v>3542</v>
      </c>
      <c r="H11" s="3512" t="s">
        <v>3429</v>
      </c>
      <c r="I11" s="3512" t="s">
        <v>3529</v>
      </c>
      <c r="J11" s="3512" t="s">
        <v>3443</v>
      </c>
      <c r="K11" s="3512" t="s">
        <v>3489</v>
      </c>
      <c r="L11" s="3512" t="s">
        <v>3543</v>
      </c>
      <c r="M11" s="3512" t="s">
        <v>3530</v>
      </c>
      <c r="N11" s="3512" t="s">
        <v>3530</v>
      </c>
      <c r="O11" s="3512" t="s">
        <v>3436</v>
      </c>
      <c r="P11" s="3512" t="s">
        <v>3531</v>
      </c>
      <c r="Q11" s="3512" t="s">
        <v>3531</v>
      </c>
      <c r="R11" s="3512">
        <v>0</v>
      </c>
      <c r="S11" s="3512">
        <v>0</v>
      </c>
      <c r="T11" s="3513">
        <v>44295.000497685185</v>
      </c>
      <c r="U11" s="3513">
        <v>44324.000497685185</v>
      </c>
      <c r="V11" s="3513">
        <v>44336.000497685185</v>
      </c>
      <c r="W11" s="3513">
        <v>44338.000497685185</v>
      </c>
      <c r="X11" s="3512" t="s">
        <v>3437</v>
      </c>
      <c r="Y11" s="3512" t="s">
        <v>3544</v>
      </c>
      <c r="Z11" s="3512" t="s">
        <v>3545</v>
      </c>
      <c r="AA11" s="3512">
        <v>47000</v>
      </c>
      <c r="AB11" s="3512">
        <v>9400</v>
      </c>
      <c r="AC11" s="3512" t="s">
        <v>3534</v>
      </c>
      <c r="AD11" s="3512">
        <v>62000</v>
      </c>
      <c r="AE11" s="3512">
        <v>2295.92</v>
      </c>
      <c r="AF11" s="3512">
        <v>3028.66</v>
      </c>
      <c r="AG11" s="3512">
        <v>20258</v>
      </c>
      <c r="AH11" s="3512">
        <v>26724</v>
      </c>
      <c r="AI11" s="3512" t="s">
        <v>3436</v>
      </c>
      <c r="AJ11" s="3512" t="s">
        <v>3436</v>
      </c>
      <c r="AK11" s="3512">
        <v>31.91</v>
      </c>
      <c r="AL11" s="3512" t="s">
        <v>3464</v>
      </c>
      <c r="AM11" s="3512" t="s">
        <v>3546</v>
      </c>
      <c r="AN11" s="3512" t="s">
        <v>3443</v>
      </c>
      <c r="AO11" s="3512" t="s">
        <v>3547</v>
      </c>
      <c r="AP11" s="3512" t="s">
        <v>3548</v>
      </c>
      <c r="AQ11" s="3512" t="s">
        <v>3549</v>
      </c>
    </row>
    <row r="12" spans="1:43">
      <c r="A12" s="3512" t="s">
        <v>3550</v>
      </c>
      <c r="B12" s="3512" t="s">
        <v>3551</v>
      </c>
      <c r="C12" s="3512" t="s">
        <v>3449</v>
      </c>
      <c r="D12" s="3512" t="s">
        <v>3463</v>
      </c>
      <c r="E12" s="3512">
        <v>32843.65</v>
      </c>
      <c r="F12" s="3512">
        <v>72256.03</v>
      </c>
      <c r="G12" s="3512" t="s">
        <v>3552</v>
      </c>
      <c r="H12" s="3512" t="s">
        <v>3429</v>
      </c>
      <c r="I12" s="3512" t="s">
        <v>3553</v>
      </c>
      <c r="J12" s="3512" t="s">
        <v>3431</v>
      </c>
      <c r="K12" s="3512" t="s">
        <v>3554</v>
      </c>
      <c r="L12" s="3512" t="s">
        <v>3511</v>
      </c>
      <c r="M12" s="3512" t="s">
        <v>3530</v>
      </c>
      <c r="N12" s="3512" t="s">
        <v>3530</v>
      </c>
      <c r="O12" s="3512" t="s">
        <v>3436</v>
      </c>
      <c r="P12" s="3512" t="s">
        <v>3436</v>
      </c>
      <c r="Q12" s="3512" t="s">
        <v>3531</v>
      </c>
      <c r="R12" s="3512">
        <v>0</v>
      </c>
      <c r="S12" s="3512">
        <v>0</v>
      </c>
      <c r="T12" s="3513">
        <v>44217.000497685185</v>
      </c>
      <c r="U12" s="3513">
        <v>44237.000497685185</v>
      </c>
      <c r="V12" s="3513">
        <v>44251.000497685185</v>
      </c>
      <c r="W12" s="3513">
        <v>44252.000497685185</v>
      </c>
      <c r="X12" s="3512" t="s">
        <v>3437</v>
      </c>
      <c r="Y12" s="3512" t="s">
        <v>3555</v>
      </c>
      <c r="Z12" s="3512" t="s">
        <v>3556</v>
      </c>
      <c r="AA12" s="3512">
        <v>136000</v>
      </c>
      <c r="AB12" s="3512">
        <v>27200</v>
      </c>
      <c r="AC12" s="3512" t="s">
        <v>3557</v>
      </c>
      <c r="AD12" s="3512">
        <v>164000</v>
      </c>
      <c r="AE12" s="3512">
        <v>2760.55</v>
      </c>
      <c r="AF12" s="3512">
        <v>3328.9</v>
      </c>
      <c r="AG12" s="3512">
        <v>18822</v>
      </c>
      <c r="AH12" s="3512">
        <v>22697</v>
      </c>
      <c r="AI12" s="3512" t="s">
        <v>3436</v>
      </c>
      <c r="AJ12" s="3512" t="s">
        <v>3436</v>
      </c>
      <c r="AK12" s="3512">
        <v>20.59</v>
      </c>
      <c r="AL12" s="3512" t="s">
        <v>3464</v>
      </c>
      <c r="AM12" s="3512" t="s">
        <v>3558</v>
      </c>
      <c r="AN12" s="3512" t="s">
        <v>3559</v>
      </c>
      <c r="AO12" s="3512" t="s">
        <v>3560</v>
      </c>
      <c r="AP12" s="3512" t="s">
        <v>3561</v>
      </c>
      <c r="AQ12" s="3512" t="s">
        <v>3562</v>
      </c>
    </row>
    <row r="13" spans="1:43" s="3518" customFormat="1">
      <c r="A13" s="3518" t="s">
        <v>3563</v>
      </c>
      <c r="B13" s="3518" t="s">
        <v>3564</v>
      </c>
      <c r="C13" s="3518" t="s">
        <v>3485</v>
      </c>
      <c r="D13" s="3518" t="s">
        <v>3427</v>
      </c>
      <c r="E13" s="3518">
        <v>70636.94</v>
      </c>
      <c r="F13" s="3518">
        <v>187821.46</v>
      </c>
      <c r="G13" s="3518">
        <v>2.66</v>
      </c>
      <c r="H13" s="3518" t="s">
        <v>3565</v>
      </c>
      <c r="I13" s="3518" t="s">
        <v>3553</v>
      </c>
      <c r="J13" s="3518" t="s">
        <v>3566</v>
      </c>
      <c r="K13" s="3518" t="s">
        <v>3567</v>
      </c>
      <c r="L13" s="3518" t="s">
        <v>3436</v>
      </c>
      <c r="M13" s="3518" t="s">
        <v>3530</v>
      </c>
      <c r="N13" s="3518" t="s">
        <v>3436</v>
      </c>
      <c r="O13" s="3518" t="s">
        <v>3436</v>
      </c>
      <c r="P13" s="3518" t="s">
        <v>3531</v>
      </c>
      <c r="Q13" s="3518" t="s">
        <v>3531</v>
      </c>
      <c r="R13" s="3518">
        <v>0</v>
      </c>
      <c r="S13" s="3518">
        <v>0</v>
      </c>
      <c r="T13" s="3519">
        <v>44187.000497685185</v>
      </c>
      <c r="U13" s="3519">
        <v>44215.000497685185</v>
      </c>
      <c r="V13" s="3519">
        <v>44224.000497685185</v>
      </c>
      <c r="W13" s="3519">
        <v>44224.000497685185</v>
      </c>
      <c r="X13" s="3518" t="s">
        <v>3437</v>
      </c>
      <c r="Y13" s="3518" t="s">
        <v>3568</v>
      </c>
      <c r="Z13" s="3518" t="s">
        <v>3569</v>
      </c>
      <c r="AA13" s="3518">
        <v>173000</v>
      </c>
      <c r="AB13" s="3518">
        <v>34600</v>
      </c>
      <c r="AC13" s="3518" t="s">
        <v>3570</v>
      </c>
      <c r="AD13" s="3518">
        <v>173000</v>
      </c>
      <c r="AE13" s="3518">
        <v>1632.76</v>
      </c>
      <c r="AF13" s="3518">
        <v>1632.76</v>
      </c>
      <c r="AG13" s="3518">
        <v>9211</v>
      </c>
      <c r="AH13" s="3518">
        <v>9211</v>
      </c>
      <c r="AI13" s="3518" t="s">
        <v>3436</v>
      </c>
      <c r="AJ13" s="3518" t="s">
        <v>3436</v>
      </c>
      <c r="AK13" s="3518">
        <v>0</v>
      </c>
      <c r="AL13" s="3518" t="s">
        <v>3571</v>
      </c>
      <c r="AM13" s="3518" t="s">
        <v>3572</v>
      </c>
      <c r="AN13" s="3518" t="s">
        <v>3443</v>
      </c>
      <c r="AO13" s="3518" t="s">
        <v>3573</v>
      </c>
      <c r="AP13" s="3518" t="s">
        <v>3574</v>
      </c>
      <c r="AQ13" s="3518" t="s">
        <v>3575</v>
      </c>
    </row>
    <row r="14" spans="1:43">
      <c r="A14" s="3512" t="s">
        <v>3576</v>
      </c>
      <c r="B14" s="3512" t="s">
        <v>3577</v>
      </c>
      <c r="C14" s="3512" t="s">
        <v>3578</v>
      </c>
      <c r="D14" s="3512" t="s">
        <v>3463</v>
      </c>
      <c r="E14" s="3512">
        <v>21897.02</v>
      </c>
      <c r="F14" s="3512">
        <v>37224.93</v>
      </c>
      <c r="G14" s="3512" t="s">
        <v>3579</v>
      </c>
      <c r="H14" s="3512" t="s">
        <v>3429</v>
      </c>
      <c r="I14" s="3512" t="s">
        <v>3553</v>
      </c>
      <c r="J14" s="3512" t="s">
        <v>3431</v>
      </c>
      <c r="K14" s="3512" t="s">
        <v>3475</v>
      </c>
      <c r="L14" s="3512" t="s">
        <v>3580</v>
      </c>
      <c r="M14" s="3512" t="s">
        <v>3530</v>
      </c>
      <c r="N14" s="3512" t="s">
        <v>3581</v>
      </c>
      <c r="O14" s="3512" t="s">
        <v>3436</v>
      </c>
      <c r="P14" s="3512" t="s">
        <v>3531</v>
      </c>
      <c r="Q14" s="3512" t="s">
        <v>3531</v>
      </c>
      <c r="R14" s="3512">
        <v>0</v>
      </c>
      <c r="S14" s="3512">
        <v>0</v>
      </c>
      <c r="T14" s="3513">
        <v>44134.000497685185</v>
      </c>
      <c r="U14" s="3513">
        <v>44156.000497685185</v>
      </c>
      <c r="V14" s="3513">
        <v>44166.000497685185</v>
      </c>
      <c r="W14" s="3513">
        <v>44166.000497685185</v>
      </c>
      <c r="X14" s="3512" t="s">
        <v>3437</v>
      </c>
      <c r="Y14" s="3512" t="s">
        <v>3582</v>
      </c>
      <c r="Z14" s="3512" t="s">
        <v>3583</v>
      </c>
      <c r="AA14" s="3512">
        <v>54000</v>
      </c>
      <c r="AB14" s="3512">
        <v>10800</v>
      </c>
      <c r="AC14" s="3512" t="s">
        <v>3584</v>
      </c>
      <c r="AD14" s="3512">
        <v>60000</v>
      </c>
      <c r="AE14" s="3512">
        <v>1644.06</v>
      </c>
      <c r="AF14" s="3512">
        <v>1826.73</v>
      </c>
      <c r="AG14" s="3512">
        <v>14506</v>
      </c>
      <c r="AH14" s="3512">
        <v>16118</v>
      </c>
      <c r="AI14" s="3512" t="s">
        <v>3436</v>
      </c>
      <c r="AJ14" s="3512" t="s">
        <v>3436</v>
      </c>
      <c r="AK14" s="3512">
        <v>11.11</v>
      </c>
      <c r="AL14" s="3512">
        <v>70</v>
      </c>
      <c r="AM14" s="3512" t="s">
        <v>3585</v>
      </c>
      <c r="AN14" s="3512" t="s">
        <v>3586</v>
      </c>
      <c r="AO14" s="3512" t="s">
        <v>3587</v>
      </c>
      <c r="AP14" s="3512" t="s">
        <v>3588</v>
      </c>
      <c r="AQ14" s="3512" t="s">
        <v>3589</v>
      </c>
    </row>
    <row r="15" spans="1:43">
      <c r="A15" s="3512" t="s">
        <v>3590</v>
      </c>
      <c r="B15" s="3512" t="s">
        <v>3591</v>
      </c>
      <c r="C15" s="3512" t="s">
        <v>3578</v>
      </c>
      <c r="D15" s="3512" t="s">
        <v>3463</v>
      </c>
      <c r="E15" s="3512">
        <v>33348.870000000003</v>
      </c>
      <c r="F15" s="3512">
        <v>83372.179999999993</v>
      </c>
      <c r="G15" s="3512" t="s">
        <v>3592</v>
      </c>
      <c r="H15" s="3512" t="s">
        <v>3429</v>
      </c>
      <c r="I15" s="3512" t="s">
        <v>3553</v>
      </c>
      <c r="J15" s="3512" t="s">
        <v>3443</v>
      </c>
      <c r="K15" s="3512" t="s">
        <v>3489</v>
      </c>
      <c r="L15" s="3512" t="s">
        <v>3593</v>
      </c>
      <c r="M15" s="3512" t="s">
        <v>3530</v>
      </c>
      <c r="N15" s="3512" t="s">
        <v>3581</v>
      </c>
      <c r="O15" s="3512" t="s">
        <v>3436</v>
      </c>
      <c r="P15" s="3512" t="s">
        <v>3531</v>
      </c>
      <c r="Q15" s="3512" t="s">
        <v>3531</v>
      </c>
      <c r="R15" s="3512">
        <v>0</v>
      </c>
      <c r="S15" s="3512">
        <v>0</v>
      </c>
      <c r="T15" s="3513">
        <v>44134.000497685185</v>
      </c>
      <c r="U15" s="3513">
        <v>44156.000497685185</v>
      </c>
      <c r="V15" s="3513">
        <v>44166.000497685185</v>
      </c>
      <c r="W15" s="3513">
        <v>44166.000497685185</v>
      </c>
      <c r="X15" s="3512" t="s">
        <v>3437</v>
      </c>
      <c r="Y15" s="3512" t="s">
        <v>3594</v>
      </c>
      <c r="Z15" s="3512" t="s">
        <v>3595</v>
      </c>
      <c r="AA15" s="3512">
        <v>117000</v>
      </c>
      <c r="AB15" s="3512">
        <v>23400</v>
      </c>
      <c r="AC15" s="3512" t="s">
        <v>3584</v>
      </c>
      <c r="AD15" s="3512">
        <v>127000</v>
      </c>
      <c r="AE15" s="3512">
        <v>2338.91</v>
      </c>
      <c r="AF15" s="3512">
        <v>2538.8200000000002</v>
      </c>
      <c r="AG15" s="3512">
        <v>14033</v>
      </c>
      <c r="AH15" s="3512">
        <v>15233</v>
      </c>
      <c r="AI15" s="3512" t="s">
        <v>3436</v>
      </c>
      <c r="AJ15" s="3512" t="s">
        <v>3436</v>
      </c>
      <c r="AK15" s="3512">
        <v>8.5500000000000007</v>
      </c>
      <c r="AL15" s="3512">
        <v>70</v>
      </c>
      <c r="AM15" s="3512" t="s">
        <v>3596</v>
      </c>
      <c r="AN15" s="3512" t="s">
        <v>3586</v>
      </c>
      <c r="AO15" s="3512" t="s">
        <v>3597</v>
      </c>
      <c r="AP15" s="3512" t="s">
        <v>3598</v>
      </c>
      <c r="AQ15" s="3512" t="s">
        <v>3599</v>
      </c>
    </row>
    <row r="16" spans="1:43">
      <c r="A16" s="3512" t="s">
        <v>3600</v>
      </c>
      <c r="B16" s="3512" t="s">
        <v>3601</v>
      </c>
      <c r="C16" s="3512" t="s">
        <v>3602</v>
      </c>
      <c r="D16" s="3512" t="s">
        <v>3427</v>
      </c>
      <c r="E16" s="3512">
        <v>35246.769999999997</v>
      </c>
      <c r="F16" s="3512">
        <v>67288.3</v>
      </c>
      <c r="G16" s="3512">
        <v>2</v>
      </c>
      <c r="H16" s="3512" t="s">
        <v>3603</v>
      </c>
      <c r="I16" s="3512" t="s">
        <v>3553</v>
      </c>
      <c r="J16" s="3512" t="s">
        <v>3604</v>
      </c>
      <c r="K16" s="3512" t="s">
        <v>3432</v>
      </c>
      <c r="L16" s="3512" t="s">
        <v>3605</v>
      </c>
      <c r="M16" s="3512" t="s">
        <v>3434</v>
      </c>
      <c r="N16" s="3512" t="s">
        <v>3434</v>
      </c>
      <c r="O16" s="3512" t="s">
        <v>3436</v>
      </c>
      <c r="P16" s="3512" t="s">
        <v>3436</v>
      </c>
      <c r="Q16" s="3512" t="s">
        <v>3531</v>
      </c>
      <c r="R16" s="3512">
        <v>0</v>
      </c>
      <c r="S16" s="3512">
        <v>0</v>
      </c>
      <c r="T16" s="3513">
        <v>44104.000497685185</v>
      </c>
      <c r="U16" s="3513">
        <v>44124.000497685185</v>
      </c>
      <c r="V16" s="3513">
        <v>44137.000497685185</v>
      </c>
      <c r="W16" s="3513">
        <v>44137.000497685185</v>
      </c>
      <c r="X16" s="3512" t="s">
        <v>3437</v>
      </c>
      <c r="Y16" s="3512" t="s">
        <v>3606</v>
      </c>
      <c r="Z16" s="3512" t="s">
        <v>3607</v>
      </c>
      <c r="AA16" s="3512">
        <v>110000</v>
      </c>
      <c r="AB16" s="3512">
        <v>22000</v>
      </c>
      <c r="AC16" s="3512" t="s">
        <v>3608</v>
      </c>
      <c r="AD16" s="3512">
        <v>133000</v>
      </c>
      <c r="AE16" s="3512">
        <v>2080.5700000000002</v>
      </c>
      <c r="AF16" s="3512">
        <v>2515.6</v>
      </c>
      <c r="AG16" s="3512">
        <v>16348</v>
      </c>
      <c r="AH16" s="3512">
        <v>19766</v>
      </c>
      <c r="AI16" s="3512" t="s">
        <v>3436</v>
      </c>
      <c r="AJ16" s="3512" t="s">
        <v>3436</v>
      </c>
      <c r="AK16" s="3512">
        <v>20.91</v>
      </c>
      <c r="AL16" s="3512" t="s">
        <v>3609</v>
      </c>
      <c r="AM16" s="3512" t="s">
        <v>3610</v>
      </c>
      <c r="AN16" s="3512" t="s">
        <v>3611</v>
      </c>
      <c r="AO16" s="3512" t="s">
        <v>3612</v>
      </c>
      <c r="AP16" s="3512" t="s">
        <v>3613</v>
      </c>
      <c r="AQ16" s="3512" t="s">
        <v>3614</v>
      </c>
    </row>
    <row r="17" spans="1:43">
      <c r="A17" s="3512" t="s">
        <v>3615</v>
      </c>
      <c r="B17" s="3512" t="s">
        <v>3616</v>
      </c>
      <c r="C17" s="3512" t="s">
        <v>3449</v>
      </c>
      <c r="D17" s="3512" t="s">
        <v>3463</v>
      </c>
      <c r="E17" s="3512">
        <v>35387.65</v>
      </c>
      <c r="F17" s="3512">
        <v>77852.83</v>
      </c>
      <c r="G17" s="3512" t="s">
        <v>3617</v>
      </c>
      <c r="H17" s="3512" t="s">
        <v>3429</v>
      </c>
      <c r="I17" s="3512" t="s">
        <v>3553</v>
      </c>
      <c r="J17" s="3512" t="s">
        <v>3431</v>
      </c>
      <c r="K17" s="3512" t="s">
        <v>3432</v>
      </c>
      <c r="L17" s="3512" t="s">
        <v>3605</v>
      </c>
      <c r="M17" s="3512" t="s">
        <v>3530</v>
      </c>
      <c r="N17" s="3512" t="s">
        <v>3530</v>
      </c>
      <c r="O17" s="3512" t="s">
        <v>3436</v>
      </c>
      <c r="P17" s="3512" t="s">
        <v>3531</v>
      </c>
      <c r="Q17" s="3512" t="s">
        <v>3531</v>
      </c>
      <c r="R17" s="3512">
        <v>0</v>
      </c>
      <c r="S17" s="3512">
        <v>0</v>
      </c>
      <c r="T17" s="3513">
        <v>44104.000497685185</v>
      </c>
      <c r="U17" s="3513">
        <v>44124.000497685185</v>
      </c>
      <c r="V17" s="3513">
        <v>44137.000497685185</v>
      </c>
      <c r="W17" s="3513">
        <v>44137.000497685185</v>
      </c>
      <c r="X17" s="3512" t="s">
        <v>3437</v>
      </c>
      <c r="Y17" s="3512" t="s">
        <v>3512</v>
      </c>
      <c r="Z17" s="3512" t="s">
        <v>3513</v>
      </c>
      <c r="AA17" s="3512">
        <v>147000</v>
      </c>
      <c r="AB17" s="3512">
        <v>29400</v>
      </c>
      <c r="AC17" s="3512" t="s">
        <v>3608</v>
      </c>
      <c r="AD17" s="3512">
        <v>177000</v>
      </c>
      <c r="AE17" s="3512">
        <v>2769.33</v>
      </c>
      <c r="AF17" s="3512">
        <v>3334.5</v>
      </c>
      <c r="AG17" s="3512">
        <v>18882</v>
      </c>
      <c r="AH17" s="3512">
        <v>22735</v>
      </c>
      <c r="AI17" s="3512" t="s">
        <v>3436</v>
      </c>
      <c r="AJ17" s="3512" t="s">
        <v>3436</v>
      </c>
      <c r="AK17" s="3512">
        <v>20.41</v>
      </c>
      <c r="AL17" s="3512">
        <v>70</v>
      </c>
      <c r="AM17" s="3512" t="s">
        <v>3618</v>
      </c>
      <c r="AN17" s="3512" t="s">
        <v>3559</v>
      </c>
      <c r="AO17" s="3512" t="s">
        <v>3619</v>
      </c>
      <c r="AP17" s="3512" t="s">
        <v>3620</v>
      </c>
      <c r="AQ17" s="3512" t="s">
        <v>3621</v>
      </c>
    </row>
    <row r="18" spans="1:43">
      <c r="A18" s="3512" t="s">
        <v>3622</v>
      </c>
      <c r="B18" s="3512" t="s">
        <v>3623</v>
      </c>
      <c r="C18" s="3512" t="s">
        <v>3578</v>
      </c>
      <c r="D18" s="3512" t="s">
        <v>3463</v>
      </c>
      <c r="E18" s="3512">
        <v>35249.949999999997</v>
      </c>
      <c r="F18" s="3512">
        <v>88124.88</v>
      </c>
      <c r="G18" s="3512" t="s">
        <v>3592</v>
      </c>
      <c r="H18" s="3512" t="s">
        <v>3429</v>
      </c>
      <c r="I18" s="3512" t="s">
        <v>3553</v>
      </c>
      <c r="J18" s="3512" t="s">
        <v>3443</v>
      </c>
      <c r="K18" s="3512" t="s">
        <v>3489</v>
      </c>
      <c r="L18" s="3512" t="s">
        <v>3593</v>
      </c>
      <c r="M18" s="3512" t="s">
        <v>3530</v>
      </c>
      <c r="N18" s="3512" t="s">
        <v>3581</v>
      </c>
      <c r="O18" s="3512" t="s">
        <v>3436</v>
      </c>
      <c r="P18" s="3512" t="s">
        <v>3531</v>
      </c>
      <c r="Q18" s="3512" t="s">
        <v>3531</v>
      </c>
      <c r="R18" s="3512">
        <v>0</v>
      </c>
      <c r="S18" s="3512">
        <v>0</v>
      </c>
      <c r="T18" s="3513">
        <v>44104.000497685185</v>
      </c>
      <c r="U18" s="3513">
        <v>44124.000497685185</v>
      </c>
      <c r="V18" s="3513">
        <v>44134.000497685185</v>
      </c>
      <c r="W18" s="3513">
        <v>44134.000497685185</v>
      </c>
      <c r="X18" s="3512" t="s">
        <v>3437</v>
      </c>
      <c r="Y18" s="3512" t="s">
        <v>3624</v>
      </c>
      <c r="Z18" s="3512" t="s">
        <v>3625</v>
      </c>
      <c r="AA18" s="3512">
        <v>124000</v>
      </c>
      <c r="AB18" s="3512">
        <v>24800</v>
      </c>
      <c r="AC18" s="3512" t="s">
        <v>3608</v>
      </c>
      <c r="AD18" s="3512">
        <v>126000</v>
      </c>
      <c r="AE18" s="3512">
        <v>2345.16</v>
      </c>
      <c r="AF18" s="3512">
        <v>2382.98</v>
      </c>
      <c r="AG18" s="3512">
        <v>14071</v>
      </c>
      <c r="AH18" s="3512">
        <v>14298</v>
      </c>
      <c r="AI18" s="3512" t="s">
        <v>3436</v>
      </c>
      <c r="AJ18" s="3512" t="s">
        <v>3436</v>
      </c>
      <c r="AK18" s="3512">
        <v>1.61</v>
      </c>
      <c r="AL18" s="3512">
        <v>70</v>
      </c>
      <c r="AM18" s="3512" t="s">
        <v>3626</v>
      </c>
      <c r="AN18" s="3512" t="s">
        <v>3443</v>
      </c>
      <c r="AO18" s="3512" t="s">
        <v>3627</v>
      </c>
      <c r="AP18" s="3512" t="s">
        <v>3628</v>
      </c>
      <c r="AQ18" s="3512" t="s">
        <v>3629</v>
      </c>
    </row>
    <row r="19" spans="1:43">
      <c r="A19" s="3512" t="s">
        <v>3630</v>
      </c>
      <c r="B19" s="3512" t="s">
        <v>3631</v>
      </c>
      <c r="C19" s="3512" t="s">
        <v>3578</v>
      </c>
      <c r="D19" s="3512" t="s">
        <v>3463</v>
      </c>
      <c r="E19" s="3512">
        <v>26003.439999999999</v>
      </c>
      <c r="F19" s="3512">
        <v>44205.85</v>
      </c>
      <c r="G19" s="3512" t="s">
        <v>3579</v>
      </c>
      <c r="H19" s="3512" t="s">
        <v>3632</v>
      </c>
      <c r="I19" s="3512" t="s">
        <v>3553</v>
      </c>
      <c r="J19" s="3512" t="s">
        <v>3443</v>
      </c>
      <c r="K19" s="3512" t="s">
        <v>3475</v>
      </c>
      <c r="L19" s="3512" t="s">
        <v>3633</v>
      </c>
      <c r="M19" s="3512" t="s">
        <v>3530</v>
      </c>
      <c r="N19" s="3512" t="s">
        <v>3581</v>
      </c>
      <c r="O19" s="3512" t="s">
        <v>3436</v>
      </c>
      <c r="P19" s="3512" t="s">
        <v>3531</v>
      </c>
      <c r="Q19" s="3512" t="s">
        <v>3531</v>
      </c>
      <c r="R19" s="3512">
        <v>0</v>
      </c>
      <c r="S19" s="3512">
        <v>0</v>
      </c>
      <c r="T19" s="3513">
        <v>44068.000497685185</v>
      </c>
      <c r="U19" s="3513">
        <v>44088.000497685185</v>
      </c>
      <c r="V19" s="3513">
        <v>44098.000497685185</v>
      </c>
      <c r="W19" s="3513">
        <v>44098.000497685185</v>
      </c>
      <c r="X19" s="3512" t="s">
        <v>3437</v>
      </c>
      <c r="Y19" s="3512" t="s">
        <v>3634</v>
      </c>
      <c r="Z19" s="3512" t="s">
        <v>3635</v>
      </c>
      <c r="AA19" s="3512">
        <v>64000</v>
      </c>
      <c r="AB19" s="3512">
        <v>19200</v>
      </c>
      <c r="AC19" s="3512" t="s">
        <v>3636</v>
      </c>
      <c r="AD19" s="3512">
        <v>69000</v>
      </c>
      <c r="AE19" s="3512">
        <v>1640.81</v>
      </c>
      <c r="AF19" s="3512">
        <v>1769</v>
      </c>
      <c r="AG19" s="3512">
        <v>14478</v>
      </c>
      <c r="AH19" s="3512">
        <v>15609</v>
      </c>
      <c r="AI19" s="3512" t="s">
        <v>3436</v>
      </c>
      <c r="AJ19" s="3512" t="s">
        <v>3436</v>
      </c>
      <c r="AK19" s="3512">
        <v>7.81</v>
      </c>
      <c r="AL19" s="3512" t="s">
        <v>3464</v>
      </c>
      <c r="AM19" s="3512" t="s">
        <v>3637</v>
      </c>
      <c r="AN19" s="3512" t="s">
        <v>3586</v>
      </c>
      <c r="AO19" s="3512" t="s">
        <v>3638</v>
      </c>
      <c r="AP19" s="3512" t="s">
        <v>3639</v>
      </c>
      <c r="AQ19" s="3512" t="s">
        <v>3640</v>
      </c>
    </row>
    <row r="20" spans="1:43">
      <c r="A20" s="3512" t="s">
        <v>3641</v>
      </c>
      <c r="B20" s="3512" t="s">
        <v>3642</v>
      </c>
      <c r="C20" s="3512" t="s">
        <v>3578</v>
      </c>
      <c r="D20" s="3512" t="s">
        <v>3463</v>
      </c>
      <c r="E20" s="3512">
        <v>31624.44</v>
      </c>
      <c r="F20" s="3512">
        <v>46171.68</v>
      </c>
      <c r="G20" s="3512">
        <v>1.46</v>
      </c>
      <c r="H20" s="3512" t="s">
        <v>3632</v>
      </c>
      <c r="I20" s="3512" t="s">
        <v>3553</v>
      </c>
      <c r="J20" s="3512" t="s">
        <v>3443</v>
      </c>
      <c r="K20" s="3512" t="s">
        <v>3489</v>
      </c>
      <c r="L20" s="3512" t="s">
        <v>3633</v>
      </c>
      <c r="M20" s="3512" t="s">
        <v>3530</v>
      </c>
      <c r="N20" s="3512" t="s">
        <v>3581</v>
      </c>
      <c r="O20" s="3512" t="s">
        <v>3436</v>
      </c>
      <c r="P20" s="3512" t="s">
        <v>3531</v>
      </c>
      <c r="Q20" s="3512" t="s">
        <v>3531</v>
      </c>
      <c r="R20" s="3512">
        <v>0</v>
      </c>
      <c r="S20" s="3512">
        <v>0</v>
      </c>
      <c r="T20" s="3513">
        <v>44068.000497685185</v>
      </c>
      <c r="U20" s="3513">
        <v>44088.000497685185</v>
      </c>
      <c r="V20" s="3513">
        <v>44098.000497685185</v>
      </c>
      <c r="W20" s="3513">
        <v>44098.000497685185</v>
      </c>
      <c r="X20" s="3512" t="s">
        <v>3437</v>
      </c>
      <c r="Y20" s="3512" t="s">
        <v>3643</v>
      </c>
      <c r="Z20" s="3512" t="s">
        <v>3644</v>
      </c>
      <c r="AA20" s="3512">
        <v>68000</v>
      </c>
      <c r="AB20" s="3512">
        <v>20400</v>
      </c>
      <c r="AC20" s="3512" t="s">
        <v>3636</v>
      </c>
      <c r="AD20" s="3512">
        <v>76000</v>
      </c>
      <c r="AE20" s="3512">
        <v>1433.49</v>
      </c>
      <c r="AF20" s="3512">
        <v>1602.14</v>
      </c>
      <c r="AG20" s="3512">
        <v>14728</v>
      </c>
      <c r="AH20" s="3512">
        <v>16460</v>
      </c>
      <c r="AI20" s="3512" t="s">
        <v>3436</v>
      </c>
      <c r="AJ20" s="3512" t="s">
        <v>3436</v>
      </c>
      <c r="AK20" s="3512">
        <v>11.76</v>
      </c>
      <c r="AL20" s="3512" t="s">
        <v>3464</v>
      </c>
      <c r="AM20" s="3512" t="s">
        <v>3645</v>
      </c>
      <c r="AN20" s="3512" t="s">
        <v>3586</v>
      </c>
      <c r="AO20" s="3512" t="s">
        <v>3646</v>
      </c>
      <c r="AP20" s="3512" t="s">
        <v>3647</v>
      </c>
      <c r="AQ20" s="3512" t="s">
        <v>3648</v>
      </c>
    </row>
    <row r="21" spans="1:43">
      <c r="A21" s="3512" t="s">
        <v>3649</v>
      </c>
      <c r="B21" s="3512" t="s">
        <v>3650</v>
      </c>
      <c r="C21" s="3512" t="s">
        <v>3470</v>
      </c>
      <c r="D21" s="3512" t="s">
        <v>3463</v>
      </c>
      <c r="E21" s="3512">
        <v>61493.24</v>
      </c>
      <c r="F21" s="3512">
        <v>172181.07</v>
      </c>
      <c r="G21" s="3512" t="s">
        <v>3651</v>
      </c>
      <c r="H21" s="3512" t="s">
        <v>3632</v>
      </c>
      <c r="I21" s="3512" t="s">
        <v>3553</v>
      </c>
      <c r="J21" s="3512" t="s">
        <v>3431</v>
      </c>
      <c r="K21" s="3512" t="s">
        <v>3432</v>
      </c>
      <c r="L21" s="3512" t="s">
        <v>3652</v>
      </c>
      <c r="M21" s="3512" t="s">
        <v>3653</v>
      </c>
      <c r="N21" s="3512" t="s">
        <v>3530</v>
      </c>
      <c r="O21" s="3512" t="s">
        <v>3436</v>
      </c>
      <c r="P21" s="3512" t="s">
        <v>3531</v>
      </c>
      <c r="Q21" s="3512" t="s">
        <v>3531</v>
      </c>
      <c r="R21" s="3512">
        <v>0</v>
      </c>
      <c r="S21" s="3512">
        <v>0</v>
      </c>
      <c r="T21" s="3513">
        <v>44061.000497685185</v>
      </c>
      <c r="U21" s="3513">
        <v>44081.000497685185</v>
      </c>
      <c r="V21" s="3513">
        <v>44092.000497685185</v>
      </c>
      <c r="W21" s="3513">
        <v>44092.000497685185</v>
      </c>
      <c r="X21" s="3512" t="s">
        <v>3437</v>
      </c>
      <c r="Y21" s="3512" t="s">
        <v>3654</v>
      </c>
      <c r="Z21" s="3512" t="s">
        <v>3655</v>
      </c>
      <c r="AA21" s="3512">
        <v>317000</v>
      </c>
      <c r="AB21" s="3512">
        <v>158500</v>
      </c>
      <c r="AC21" s="3512" t="s">
        <v>3656</v>
      </c>
      <c r="AD21" s="3512">
        <v>381000</v>
      </c>
      <c r="AE21" s="3512">
        <v>3436.69</v>
      </c>
      <c r="AF21" s="3512">
        <v>4130.54</v>
      </c>
      <c r="AG21" s="3512">
        <v>18411</v>
      </c>
      <c r="AH21" s="3512">
        <v>22128</v>
      </c>
      <c r="AI21" s="3512" t="s">
        <v>3436</v>
      </c>
      <c r="AJ21" s="3512" t="s">
        <v>3436</v>
      </c>
      <c r="AK21" s="3512">
        <v>20.190000000000001</v>
      </c>
      <c r="AL21" s="3512" t="s">
        <v>3464</v>
      </c>
      <c r="AM21" s="3512" t="s">
        <v>3535</v>
      </c>
      <c r="AN21" s="3512" t="s">
        <v>3657</v>
      </c>
      <c r="AO21" s="3512" t="s">
        <v>3658</v>
      </c>
      <c r="AP21" s="3512" t="s">
        <v>3659</v>
      </c>
      <c r="AQ21" s="3512" t="s">
        <v>3660</v>
      </c>
    </row>
    <row r="22" spans="1:43" s="3514" customFormat="1">
      <c r="A22" s="3514" t="s">
        <v>4033</v>
      </c>
      <c r="B22" s="3514" t="s">
        <v>3661</v>
      </c>
      <c r="C22" s="3514" t="s">
        <v>3485</v>
      </c>
      <c r="D22" s="3514" t="s">
        <v>3427</v>
      </c>
      <c r="E22" s="3514">
        <v>19447.240000000002</v>
      </c>
      <c r="F22" s="3514">
        <v>44728.65</v>
      </c>
      <c r="G22" s="3514" t="s">
        <v>3662</v>
      </c>
      <c r="H22" s="3514" t="s">
        <v>3663</v>
      </c>
      <c r="I22" s="3514" t="s">
        <v>3553</v>
      </c>
      <c r="J22" s="3514" t="s">
        <v>3664</v>
      </c>
      <c r="K22" s="3514" t="s">
        <v>3665</v>
      </c>
      <c r="L22" s="3514" t="s">
        <v>3666</v>
      </c>
      <c r="M22" s="3514" t="s">
        <v>3667</v>
      </c>
      <c r="N22" s="3514" t="s">
        <v>3667</v>
      </c>
      <c r="O22" s="3514" t="s">
        <v>3436</v>
      </c>
      <c r="P22" s="3514" t="s">
        <v>3531</v>
      </c>
      <c r="Q22" s="3514" t="s">
        <v>3531</v>
      </c>
      <c r="R22" s="3514">
        <v>0</v>
      </c>
      <c r="S22" s="3514">
        <v>0</v>
      </c>
      <c r="T22" s="3515">
        <v>43994.000497685185</v>
      </c>
      <c r="U22" s="3515">
        <v>44018.000497685185</v>
      </c>
      <c r="V22" s="3515">
        <v>44027.000497685185</v>
      </c>
      <c r="W22" s="3515">
        <v>44027.000497685185</v>
      </c>
      <c r="X22" s="3514" t="s">
        <v>3437</v>
      </c>
      <c r="Y22" s="3514" t="s">
        <v>3668</v>
      </c>
      <c r="Z22" s="3514" t="s">
        <v>3669</v>
      </c>
      <c r="AA22" s="3514">
        <v>65000</v>
      </c>
      <c r="AB22" s="3514">
        <v>13000</v>
      </c>
      <c r="AC22" s="3514" t="s">
        <v>3670</v>
      </c>
      <c r="AD22" s="3514">
        <v>78000</v>
      </c>
      <c r="AE22" s="3514">
        <v>2228.25</v>
      </c>
      <c r="AF22" s="3514">
        <v>2673.9</v>
      </c>
      <c r="AG22" s="3514">
        <v>14532</v>
      </c>
      <c r="AH22" s="3514">
        <v>17438</v>
      </c>
      <c r="AI22" s="3514" t="s">
        <v>3436</v>
      </c>
      <c r="AJ22" s="3514" t="s">
        <v>3436</v>
      </c>
      <c r="AK22" s="3514">
        <v>20</v>
      </c>
      <c r="AL22" s="3514" t="s">
        <v>3671</v>
      </c>
      <c r="AM22" s="3514" t="s">
        <v>3672</v>
      </c>
      <c r="AN22" s="3514" t="s">
        <v>3673</v>
      </c>
      <c r="AO22" s="3514" t="s">
        <v>3674</v>
      </c>
      <c r="AP22" s="3514" t="s">
        <v>3613</v>
      </c>
      <c r="AQ22" s="3514" t="s">
        <v>3675</v>
      </c>
    </row>
    <row r="23" spans="1:43">
      <c r="A23" s="3512" t="s">
        <v>3676</v>
      </c>
      <c r="B23" s="3512" t="s">
        <v>3677</v>
      </c>
      <c r="C23" s="3512" t="s">
        <v>3485</v>
      </c>
      <c r="D23" s="3512" t="s">
        <v>3463</v>
      </c>
      <c r="E23" s="3512">
        <v>14670.02</v>
      </c>
      <c r="F23" s="3512">
        <v>38142.050000000003</v>
      </c>
      <c r="G23" s="3512" t="s">
        <v>3678</v>
      </c>
      <c r="H23" s="3512" t="s">
        <v>3632</v>
      </c>
      <c r="I23" s="3512" t="s">
        <v>3553</v>
      </c>
      <c r="J23" s="3512" t="s">
        <v>3443</v>
      </c>
      <c r="K23" s="3512" t="s">
        <v>3679</v>
      </c>
      <c r="L23" s="3512" t="s">
        <v>3666</v>
      </c>
      <c r="M23" s="3512" t="s">
        <v>3667</v>
      </c>
      <c r="N23" s="3512" t="s">
        <v>3667</v>
      </c>
      <c r="O23" s="3512" t="s">
        <v>3436</v>
      </c>
      <c r="P23" s="3512" t="s">
        <v>3531</v>
      </c>
      <c r="Q23" s="3512" t="s">
        <v>3531</v>
      </c>
      <c r="R23" s="3512">
        <v>0</v>
      </c>
      <c r="S23" s="3512">
        <v>0</v>
      </c>
      <c r="T23" s="3513">
        <v>43994.000497685185</v>
      </c>
      <c r="U23" s="3513">
        <v>44018.000497685185</v>
      </c>
      <c r="V23" s="3513">
        <v>44027.000497685185</v>
      </c>
      <c r="W23" s="3513">
        <v>44027.000497685185</v>
      </c>
      <c r="X23" s="3512" t="s">
        <v>3437</v>
      </c>
      <c r="Y23" s="3512" t="s">
        <v>3680</v>
      </c>
      <c r="Z23" s="3512" t="s">
        <v>3681</v>
      </c>
      <c r="AA23" s="3512">
        <v>55000</v>
      </c>
      <c r="AB23" s="3512">
        <v>11000</v>
      </c>
      <c r="AC23" s="3512" t="s">
        <v>3670</v>
      </c>
      <c r="AD23" s="3512">
        <v>66000</v>
      </c>
      <c r="AE23" s="3512">
        <v>2499.4299999999998</v>
      </c>
      <c r="AF23" s="3512">
        <v>2999.31</v>
      </c>
      <c r="AG23" s="3512">
        <v>14420</v>
      </c>
      <c r="AH23" s="3512">
        <v>17304</v>
      </c>
      <c r="AI23" s="3512" t="s">
        <v>3436</v>
      </c>
      <c r="AJ23" s="3512" t="s">
        <v>3436</v>
      </c>
      <c r="AK23" s="3512">
        <v>20</v>
      </c>
      <c r="AL23" s="3512">
        <v>70</v>
      </c>
      <c r="AM23" s="3512" t="s">
        <v>3682</v>
      </c>
      <c r="AN23" s="3512" t="s">
        <v>3673</v>
      </c>
      <c r="AO23" s="3512" t="s">
        <v>3683</v>
      </c>
      <c r="AP23" s="3512" t="s">
        <v>3613</v>
      </c>
      <c r="AQ23" s="3512" t="s">
        <v>3684</v>
      </c>
    </row>
    <row r="24" spans="1:43">
      <c r="A24" s="3512" t="s">
        <v>3685</v>
      </c>
      <c r="B24" s="3512" t="s">
        <v>3686</v>
      </c>
      <c r="C24" s="3512" t="s">
        <v>3602</v>
      </c>
      <c r="D24" s="3512" t="s">
        <v>3463</v>
      </c>
      <c r="E24" s="3512">
        <v>34696.58</v>
      </c>
      <c r="F24" s="3512">
        <v>69392.960000000006</v>
      </c>
      <c r="G24" s="3512" t="s">
        <v>3687</v>
      </c>
      <c r="H24" s="3512" t="s">
        <v>3632</v>
      </c>
      <c r="I24" s="3512" t="s">
        <v>3553</v>
      </c>
      <c r="J24" s="3512" t="s">
        <v>3443</v>
      </c>
      <c r="K24" s="3512" t="s">
        <v>3679</v>
      </c>
      <c r="L24" s="3512" t="s">
        <v>3688</v>
      </c>
      <c r="M24" s="3512" t="s">
        <v>3667</v>
      </c>
      <c r="N24" s="3512" t="s">
        <v>3667</v>
      </c>
      <c r="O24" s="3512" t="s">
        <v>3436</v>
      </c>
      <c r="P24" s="3512" t="s">
        <v>3531</v>
      </c>
      <c r="Q24" s="3512" t="s">
        <v>3531</v>
      </c>
      <c r="R24" s="3512">
        <v>0</v>
      </c>
      <c r="S24" s="3512">
        <v>0</v>
      </c>
      <c r="T24" s="3513">
        <v>43987.000497685185</v>
      </c>
      <c r="U24" s="3513">
        <v>44012.000497685185</v>
      </c>
      <c r="V24" s="3513">
        <v>44022.000497685185</v>
      </c>
      <c r="W24" s="3513">
        <v>44022.000497685185</v>
      </c>
      <c r="X24" s="3512" t="s">
        <v>3437</v>
      </c>
      <c r="Y24" s="3512" t="s">
        <v>3689</v>
      </c>
      <c r="Z24" s="3512" t="s">
        <v>3690</v>
      </c>
      <c r="AA24" s="3512">
        <v>115000</v>
      </c>
      <c r="AB24" s="3512">
        <v>23000</v>
      </c>
      <c r="AC24" s="3512" t="s">
        <v>3691</v>
      </c>
      <c r="AD24" s="3512">
        <v>138000</v>
      </c>
      <c r="AE24" s="3512">
        <v>2209.63</v>
      </c>
      <c r="AF24" s="3512">
        <v>2651.56</v>
      </c>
      <c r="AG24" s="3512">
        <v>16572</v>
      </c>
      <c r="AH24" s="3512">
        <v>19887</v>
      </c>
      <c r="AI24" s="3512" t="s">
        <v>3436</v>
      </c>
      <c r="AJ24" s="3512" t="s">
        <v>3436</v>
      </c>
      <c r="AK24" s="3512">
        <v>20</v>
      </c>
      <c r="AL24" s="3512">
        <v>70</v>
      </c>
      <c r="AM24" s="3512" t="s">
        <v>3692</v>
      </c>
      <c r="AN24" s="3512" t="s">
        <v>3611</v>
      </c>
      <c r="AO24" s="3512" t="s">
        <v>3693</v>
      </c>
      <c r="AP24" s="3512" t="s">
        <v>3613</v>
      </c>
      <c r="AQ24" s="3512" t="s">
        <v>3694</v>
      </c>
    </row>
    <row r="25" spans="1:43" s="3516" customFormat="1">
      <c r="A25" s="3516" t="s">
        <v>3695</v>
      </c>
      <c r="B25" s="3516" t="s">
        <v>3696</v>
      </c>
      <c r="C25" s="3516" t="s">
        <v>3485</v>
      </c>
      <c r="D25" s="3516" t="s">
        <v>3427</v>
      </c>
      <c r="E25" s="3516">
        <v>199652.8</v>
      </c>
      <c r="F25" s="3516">
        <v>592253.31999999995</v>
      </c>
      <c r="G25" s="3516">
        <v>2.97</v>
      </c>
      <c r="H25" s="3516" t="s">
        <v>3697</v>
      </c>
      <c r="I25" s="3516" t="s">
        <v>3553</v>
      </c>
      <c r="J25" s="3516" t="s">
        <v>3698</v>
      </c>
      <c r="K25" s="3516" t="s">
        <v>3699</v>
      </c>
      <c r="L25" s="3516" t="s">
        <v>3700</v>
      </c>
      <c r="M25" s="3516" t="s">
        <v>3701</v>
      </c>
      <c r="N25" s="3516" t="s">
        <v>3702</v>
      </c>
      <c r="O25" s="3516" t="s">
        <v>3436</v>
      </c>
      <c r="P25" s="3516" t="s">
        <v>3531</v>
      </c>
      <c r="Q25" s="3516" t="s">
        <v>3531</v>
      </c>
      <c r="R25" s="3516">
        <v>0</v>
      </c>
      <c r="S25" s="3516">
        <v>0</v>
      </c>
      <c r="T25" s="3517">
        <v>43982.000497685185</v>
      </c>
      <c r="U25" s="3517">
        <v>44005.000497685185</v>
      </c>
      <c r="V25" s="3517">
        <v>44015.000497685185</v>
      </c>
      <c r="W25" s="3517">
        <v>44015.000497685185</v>
      </c>
      <c r="X25" s="3516" t="s">
        <v>3437</v>
      </c>
      <c r="Y25" s="3516" t="s">
        <v>3703</v>
      </c>
      <c r="Z25" s="3516" t="s">
        <v>3704</v>
      </c>
      <c r="AA25" s="3516">
        <v>457000</v>
      </c>
      <c r="AB25" s="3516">
        <v>91400</v>
      </c>
      <c r="AC25" s="3516" t="s">
        <v>3705</v>
      </c>
      <c r="AD25" s="3516">
        <v>457000</v>
      </c>
      <c r="AE25" s="3516">
        <v>1525.98</v>
      </c>
      <c r="AF25" s="3516">
        <v>1525.98</v>
      </c>
      <c r="AG25" s="3516">
        <v>7716</v>
      </c>
      <c r="AH25" s="3516">
        <v>7716</v>
      </c>
      <c r="AI25" s="3516" t="s">
        <v>3436</v>
      </c>
      <c r="AJ25" s="3516" t="s">
        <v>3436</v>
      </c>
      <c r="AK25" s="3516">
        <v>0</v>
      </c>
      <c r="AL25" s="3516" t="s">
        <v>3671</v>
      </c>
      <c r="AM25" s="3516" t="s">
        <v>3706</v>
      </c>
      <c r="AN25" s="3516" t="s">
        <v>3443</v>
      </c>
      <c r="AO25" s="3516" t="s">
        <v>3707</v>
      </c>
      <c r="AP25" s="3516" t="s">
        <v>3708</v>
      </c>
      <c r="AQ25" s="3516" t="s">
        <v>3436</v>
      </c>
    </row>
    <row r="26" spans="1:43">
      <c r="A26" s="3512" t="s">
        <v>3709</v>
      </c>
      <c r="B26" s="3512" t="s">
        <v>3710</v>
      </c>
      <c r="C26" s="3512" t="s">
        <v>3426</v>
      </c>
      <c r="D26" s="3512" t="s">
        <v>3463</v>
      </c>
      <c r="E26" s="3512">
        <v>34852.32</v>
      </c>
      <c r="F26" s="3512">
        <v>64476.79</v>
      </c>
      <c r="G26" s="3512" t="s">
        <v>3711</v>
      </c>
      <c r="H26" s="3512" t="s">
        <v>3429</v>
      </c>
      <c r="I26" s="3512" t="s">
        <v>3553</v>
      </c>
      <c r="J26" s="3512" t="s">
        <v>3443</v>
      </c>
      <c r="K26" s="3512" t="s">
        <v>3489</v>
      </c>
      <c r="L26" s="3512" t="s">
        <v>3543</v>
      </c>
      <c r="M26" s="3512" t="s">
        <v>3712</v>
      </c>
      <c r="N26" s="3512" t="s">
        <v>3712</v>
      </c>
      <c r="O26" s="3512" t="s">
        <v>3436</v>
      </c>
      <c r="P26" s="3512" t="s">
        <v>3531</v>
      </c>
      <c r="Q26" s="3512" t="s">
        <v>3531</v>
      </c>
      <c r="R26" s="3512">
        <v>0</v>
      </c>
      <c r="S26" s="3512">
        <v>0</v>
      </c>
      <c r="T26" s="3513">
        <v>43938.000497685185</v>
      </c>
      <c r="U26" s="3513">
        <v>43960.000497685185</v>
      </c>
      <c r="V26" s="3513">
        <v>43971.000497685185</v>
      </c>
      <c r="W26" s="3513">
        <v>43971.000497685185</v>
      </c>
      <c r="X26" s="3512" t="s">
        <v>3437</v>
      </c>
      <c r="Y26" s="3512" t="s">
        <v>3713</v>
      </c>
      <c r="Z26" s="3512" t="s">
        <v>3714</v>
      </c>
      <c r="AA26" s="3512">
        <v>125000</v>
      </c>
      <c r="AB26" s="3512">
        <v>25000</v>
      </c>
      <c r="AC26" s="3512" t="s">
        <v>3715</v>
      </c>
      <c r="AD26" s="3512">
        <v>175000</v>
      </c>
      <c r="AE26" s="3512">
        <v>2391.04</v>
      </c>
      <c r="AF26" s="3512">
        <v>3347.46</v>
      </c>
      <c r="AG26" s="3512">
        <v>19387</v>
      </c>
      <c r="AH26" s="3512">
        <v>27142</v>
      </c>
      <c r="AI26" s="3512" t="s">
        <v>3436</v>
      </c>
      <c r="AJ26" s="3512" t="s">
        <v>3436</v>
      </c>
      <c r="AK26" s="3512">
        <v>40</v>
      </c>
      <c r="AL26" s="3512">
        <v>70</v>
      </c>
      <c r="AM26" s="3512" t="s">
        <v>3443</v>
      </c>
      <c r="AN26" s="3512" t="s">
        <v>3443</v>
      </c>
      <c r="AO26" s="3512" t="s">
        <v>3436</v>
      </c>
      <c r="AP26" s="3512" t="s">
        <v>3436</v>
      </c>
      <c r="AQ26" s="3512" t="s">
        <v>3436</v>
      </c>
    </row>
    <row r="27" spans="1:43">
      <c r="A27" s="3512" t="s">
        <v>3716</v>
      </c>
      <c r="B27" s="3512" t="s">
        <v>3717</v>
      </c>
      <c r="C27" s="3512" t="s">
        <v>3485</v>
      </c>
      <c r="D27" s="3512" t="s">
        <v>3463</v>
      </c>
      <c r="E27" s="3512">
        <v>39802.339999999997</v>
      </c>
      <c r="F27" s="3512">
        <v>103486.08</v>
      </c>
      <c r="G27" s="3512" t="s">
        <v>3678</v>
      </c>
      <c r="H27" s="3512" t="s">
        <v>3429</v>
      </c>
      <c r="I27" s="3512" t="s">
        <v>3553</v>
      </c>
      <c r="J27" s="3512" t="s">
        <v>3443</v>
      </c>
      <c r="K27" s="3512" t="s">
        <v>3432</v>
      </c>
      <c r="L27" s="3512" t="s">
        <v>3433</v>
      </c>
      <c r="M27" s="3512" t="s">
        <v>3718</v>
      </c>
      <c r="N27" s="3512" t="s">
        <v>3702</v>
      </c>
      <c r="O27" s="3512" t="s">
        <v>3436</v>
      </c>
      <c r="P27" s="3512" t="s">
        <v>3531</v>
      </c>
      <c r="Q27" s="3512" t="s">
        <v>3531</v>
      </c>
      <c r="R27" s="3512">
        <v>0</v>
      </c>
      <c r="S27" s="3512">
        <v>0</v>
      </c>
      <c r="T27" s="3513">
        <v>43938.000497685185</v>
      </c>
      <c r="U27" s="3513">
        <v>43960.000497685185</v>
      </c>
      <c r="V27" s="3513">
        <v>43971.000497685185</v>
      </c>
      <c r="W27" s="3513">
        <v>43971.000497685185</v>
      </c>
      <c r="X27" s="3512" t="s">
        <v>3437</v>
      </c>
      <c r="Y27" s="3512" t="s">
        <v>3719</v>
      </c>
      <c r="Z27" s="3512" t="s">
        <v>3720</v>
      </c>
      <c r="AA27" s="3512">
        <v>149000</v>
      </c>
      <c r="AB27" s="3512">
        <v>29800</v>
      </c>
      <c r="AC27" s="3512" t="s">
        <v>3715</v>
      </c>
      <c r="AD27" s="3512">
        <v>204000</v>
      </c>
      <c r="AE27" s="3512">
        <v>2495.67</v>
      </c>
      <c r="AF27" s="3512">
        <v>3416.88</v>
      </c>
      <c r="AG27" s="3512">
        <v>14398</v>
      </c>
      <c r="AH27" s="3512">
        <v>19713</v>
      </c>
      <c r="AI27" s="3512" t="s">
        <v>3436</v>
      </c>
      <c r="AJ27" s="3512" t="s">
        <v>3436</v>
      </c>
      <c r="AK27" s="3512">
        <v>36.909999999999997</v>
      </c>
      <c r="AL27" s="3512">
        <v>70</v>
      </c>
      <c r="AM27" s="3512" t="s">
        <v>3443</v>
      </c>
      <c r="AN27" s="3512" t="s">
        <v>3443</v>
      </c>
      <c r="AO27" s="3512" t="s">
        <v>3436</v>
      </c>
      <c r="AP27" s="3512" t="s">
        <v>3436</v>
      </c>
      <c r="AQ27" s="3512" t="s">
        <v>3436</v>
      </c>
    </row>
    <row r="28" spans="1:43" s="3514" customFormat="1">
      <c r="A28" s="3514" t="s">
        <v>3721</v>
      </c>
      <c r="B28" s="3514" t="s">
        <v>3722</v>
      </c>
      <c r="C28" s="3514" t="s">
        <v>3485</v>
      </c>
      <c r="D28" s="3514" t="s">
        <v>3463</v>
      </c>
      <c r="E28" s="3514">
        <v>67582.539999999994</v>
      </c>
      <c r="F28" s="3514">
        <v>168956.35</v>
      </c>
      <c r="G28" s="3514">
        <v>2.5</v>
      </c>
      <c r="H28" s="3514" t="s">
        <v>3429</v>
      </c>
      <c r="I28" s="3514" t="s">
        <v>3553</v>
      </c>
      <c r="J28" s="3514" t="s">
        <v>3443</v>
      </c>
      <c r="K28" s="3514" t="s">
        <v>3489</v>
      </c>
      <c r="L28" s="3514" t="s">
        <v>3433</v>
      </c>
      <c r="M28" s="3514" t="s">
        <v>3718</v>
      </c>
      <c r="N28" s="3514" t="s">
        <v>3702</v>
      </c>
      <c r="O28" s="3514" t="s">
        <v>3723</v>
      </c>
      <c r="P28" s="3514" t="s">
        <v>3724</v>
      </c>
      <c r="Q28" s="3514" t="s">
        <v>3724</v>
      </c>
      <c r="R28" s="3514">
        <v>0</v>
      </c>
      <c r="S28" s="3514">
        <v>0</v>
      </c>
      <c r="T28" s="3515">
        <v>43893.000497685185</v>
      </c>
      <c r="U28" s="3515">
        <v>43915.000497685185</v>
      </c>
      <c r="V28" s="3515">
        <v>43924.000497685185</v>
      </c>
      <c r="W28" s="3515">
        <v>43924.000497685185</v>
      </c>
      <c r="X28" s="3514" t="s">
        <v>3437</v>
      </c>
      <c r="Y28" s="3514" t="s">
        <v>3725</v>
      </c>
      <c r="Z28" s="3514" t="s">
        <v>3726</v>
      </c>
      <c r="AA28" s="3514">
        <v>217500</v>
      </c>
      <c r="AB28" s="3514">
        <v>43500</v>
      </c>
      <c r="AC28" s="3514" t="s">
        <v>3727</v>
      </c>
      <c r="AD28" s="3514">
        <v>297500</v>
      </c>
      <c r="AE28" s="3514">
        <v>2145.52</v>
      </c>
      <c r="AF28" s="3514">
        <v>2934.68</v>
      </c>
      <c r="AG28" s="3514">
        <v>12873</v>
      </c>
      <c r="AH28" s="3514">
        <v>17608</v>
      </c>
      <c r="AI28" s="3514" t="s">
        <v>3728</v>
      </c>
      <c r="AJ28" s="3514" t="s">
        <v>3729</v>
      </c>
      <c r="AK28" s="3514">
        <v>36.78</v>
      </c>
      <c r="AL28" s="3514" t="s">
        <v>3464</v>
      </c>
      <c r="AM28" s="3514" t="s">
        <v>3730</v>
      </c>
      <c r="AN28" s="3514" t="s">
        <v>3443</v>
      </c>
      <c r="AO28" s="3514" t="s">
        <v>3731</v>
      </c>
      <c r="AP28" s="3514" t="s">
        <v>3732</v>
      </c>
      <c r="AQ28" s="3514" t="s">
        <v>3436</v>
      </c>
    </row>
    <row r="29" spans="1:43">
      <c r="A29" s="3512" t="s">
        <v>3733</v>
      </c>
      <c r="B29" s="3512" t="s">
        <v>3734</v>
      </c>
      <c r="C29" s="3512" t="s">
        <v>3470</v>
      </c>
      <c r="D29" s="3512" t="s">
        <v>3427</v>
      </c>
      <c r="E29" s="3512">
        <v>104034.86</v>
      </c>
      <c r="F29" s="3512">
        <v>421341.18</v>
      </c>
      <c r="G29" s="3512">
        <v>4.05</v>
      </c>
      <c r="H29" s="3512" t="s">
        <v>3735</v>
      </c>
      <c r="I29" s="3512" t="s">
        <v>3553</v>
      </c>
      <c r="J29" s="3512" t="s">
        <v>3443</v>
      </c>
      <c r="K29" s="3512" t="s">
        <v>3736</v>
      </c>
      <c r="L29" s="3512" t="s">
        <v>3737</v>
      </c>
      <c r="M29" s="3512" t="s">
        <v>3718</v>
      </c>
      <c r="N29" s="3512" t="s">
        <v>3738</v>
      </c>
      <c r="O29" s="3512" t="s">
        <v>3723</v>
      </c>
      <c r="P29" s="3512" t="s">
        <v>3739</v>
      </c>
      <c r="Q29" s="3512" t="s">
        <v>3739</v>
      </c>
      <c r="R29" s="3512">
        <v>0</v>
      </c>
      <c r="S29" s="3512">
        <v>0</v>
      </c>
      <c r="T29" s="3513">
        <v>43845.000497685185</v>
      </c>
      <c r="U29" s="3513">
        <v>43868.000497685185</v>
      </c>
      <c r="V29" s="3513">
        <v>43880.000497685185</v>
      </c>
      <c r="W29" s="3513">
        <v>43880.000497685185</v>
      </c>
      <c r="X29" s="3512" t="s">
        <v>3437</v>
      </c>
      <c r="Y29" s="3512" t="s">
        <v>3740</v>
      </c>
      <c r="Z29" s="3512" t="s">
        <v>3741</v>
      </c>
      <c r="AA29" s="3512">
        <v>334000</v>
      </c>
      <c r="AB29" s="3512">
        <v>66800</v>
      </c>
      <c r="AC29" s="3512" t="s">
        <v>3742</v>
      </c>
      <c r="AD29" s="3512">
        <v>334000</v>
      </c>
      <c r="AE29" s="3512">
        <v>2140.31</v>
      </c>
      <c r="AF29" s="3512">
        <v>2140.31</v>
      </c>
      <c r="AG29" s="3512">
        <v>7927</v>
      </c>
      <c r="AH29" s="3512">
        <v>7927</v>
      </c>
      <c r="AI29" s="3512" t="s">
        <v>3743</v>
      </c>
      <c r="AJ29" s="3512" t="s">
        <v>3743</v>
      </c>
      <c r="AK29" s="3512">
        <v>0</v>
      </c>
      <c r="AL29" s="3512" t="s">
        <v>3609</v>
      </c>
      <c r="AM29" s="3512" t="s">
        <v>3744</v>
      </c>
      <c r="AN29" s="3512" t="s">
        <v>3443</v>
      </c>
      <c r="AO29" s="3512" t="s">
        <v>3745</v>
      </c>
      <c r="AP29" s="3512" t="s">
        <v>3746</v>
      </c>
      <c r="AQ29" s="3512" t="s">
        <v>3436</v>
      </c>
    </row>
    <row r="30" spans="1:43">
      <c r="A30" s="3512" t="s">
        <v>3747</v>
      </c>
      <c r="B30" s="3512" t="s">
        <v>3748</v>
      </c>
      <c r="C30" s="3512" t="s">
        <v>3426</v>
      </c>
      <c r="D30" s="3512" t="s">
        <v>3463</v>
      </c>
      <c r="E30" s="3512">
        <v>79884.14</v>
      </c>
      <c r="F30" s="3512">
        <v>175745.11</v>
      </c>
      <c r="G30" s="3512" t="s">
        <v>3749</v>
      </c>
      <c r="H30" s="3512" t="s">
        <v>3429</v>
      </c>
      <c r="I30" s="3512" t="s">
        <v>3553</v>
      </c>
      <c r="J30" s="3512" t="s">
        <v>3443</v>
      </c>
      <c r="K30" s="3512" t="s">
        <v>3489</v>
      </c>
      <c r="L30" s="3512" t="s">
        <v>3688</v>
      </c>
      <c r="M30" s="3512" t="s">
        <v>3712</v>
      </c>
      <c r="N30" s="3512" t="s">
        <v>3750</v>
      </c>
      <c r="O30" s="3512" t="s">
        <v>3436</v>
      </c>
      <c r="P30" s="3512" t="s">
        <v>3531</v>
      </c>
      <c r="Q30" s="3512" t="s">
        <v>3531</v>
      </c>
      <c r="R30" s="3512">
        <v>0</v>
      </c>
      <c r="S30" s="3512">
        <v>0</v>
      </c>
      <c r="T30" s="3513">
        <v>43707.000497685185</v>
      </c>
      <c r="U30" s="3513">
        <v>43731.000497685185</v>
      </c>
      <c r="V30" s="3513">
        <v>43748.000497685185</v>
      </c>
      <c r="W30" s="3513">
        <v>43748.000497685185</v>
      </c>
      <c r="X30" s="3512" t="s">
        <v>3437</v>
      </c>
      <c r="Y30" s="3512" t="s">
        <v>3751</v>
      </c>
      <c r="Z30" s="3512" t="s">
        <v>3635</v>
      </c>
      <c r="AA30" s="3512">
        <v>302000</v>
      </c>
      <c r="AB30" s="3512">
        <v>60400</v>
      </c>
      <c r="AC30" s="3512" t="s">
        <v>3752</v>
      </c>
      <c r="AD30" s="3512">
        <v>314000</v>
      </c>
      <c r="AE30" s="3512">
        <v>2520.3200000000002</v>
      </c>
      <c r="AF30" s="3512">
        <v>2620.46</v>
      </c>
      <c r="AG30" s="3512">
        <v>17184</v>
      </c>
      <c r="AH30" s="3512">
        <v>17867</v>
      </c>
      <c r="AI30" s="3512" t="s">
        <v>3436</v>
      </c>
      <c r="AJ30" s="3512" t="s">
        <v>3436</v>
      </c>
      <c r="AK30" s="3512">
        <v>3.97</v>
      </c>
      <c r="AL30" s="3512">
        <v>70</v>
      </c>
      <c r="AM30" s="3512" t="s">
        <v>3753</v>
      </c>
      <c r="AN30" s="3512" t="s">
        <v>3443</v>
      </c>
      <c r="AO30" s="3512" t="s">
        <v>3754</v>
      </c>
      <c r="AP30" s="3512" t="s">
        <v>3755</v>
      </c>
      <c r="AQ30" s="3512" t="s">
        <v>3436</v>
      </c>
    </row>
    <row r="31" spans="1:43">
      <c r="A31" s="3512" t="s">
        <v>3756</v>
      </c>
      <c r="B31" s="3512" t="s">
        <v>3757</v>
      </c>
      <c r="C31" s="3512" t="s">
        <v>3578</v>
      </c>
      <c r="D31" s="3512" t="s">
        <v>3463</v>
      </c>
      <c r="E31" s="3512">
        <v>30413.32</v>
      </c>
      <c r="F31" s="3512">
        <v>51702.64</v>
      </c>
      <c r="G31" s="3512" t="s">
        <v>3758</v>
      </c>
      <c r="H31" s="3512" t="s">
        <v>3429</v>
      </c>
      <c r="I31" s="3512" t="s">
        <v>3553</v>
      </c>
      <c r="J31" s="3512" t="s">
        <v>3443</v>
      </c>
      <c r="K31" s="3512" t="s">
        <v>3475</v>
      </c>
      <c r="L31" s="3512" t="s">
        <v>3543</v>
      </c>
      <c r="M31" s="3512" t="s">
        <v>3712</v>
      </c>
      <c r="N31" s="3512" t="s">
        <v>3750</v>
      </c>
      <c r="O31" s="3512" t="s">
        <v>3436</v>
      </c>
      <c r="P31" s="3512" t="s">
        <v>3531</v>
      </c>
      <c r="Q31" s="3512" t="s">
        <v>3531</v>
      </c>
      <c r="R31" s="3512">
        <v>0</v>
      </c>
      <c r="S31" s="3512">
        <v>0</v>
      </c>
      <c r="T31" s="3513">
        <v>43707.000497685185</v>
      </c>
      <c r="U31" s="3513">
        <v>43731.000497685185</v>
      </c>
      <c r="V31" s="3513">
        <v>43748.000497685185</v>
      </c>
      <c r="W31" s="3513">
        <v>43748.000497685185</v>
      </c>
      <c r="X31" s="3512" t="s">
        <v>3437</v>
      </c>
      <c r="Y31" s="3512" t="s">
        <v>3759</v>
      </c>
      <c r="Z31" s="3512" t="s">
        <v>3760</v>
      </c>
      <c r="AA31" s="3512">
        <v>65000</v>
      </c>
      <c r="AB31" s="3512">
        <v>13000</v>
      </c>
      <c r="AC31" s="3512" t="s">
        <v>3752</v>
      </c>
      <c r="AD31" s="3512">
        <v>78000</v>
      </c>
      <c r="AE31" s="3512">
        <v>1424.81</v>
      </c>
      <c r="AF31" s="3512">
        <v>1709.78</v>
      </c>
      <c r="AG31" s="3512">
        <v>12572</v>
      </c>
      <c r="AH31" s="3512">
        <v>15086</v>
      </c>
      <c r="AI31" s="3512" t="s">
        <v>3436</v>
      </c>
      <c r="AJ31" s="3512" t="s">
        <v>3436</v>
      </c>
      <c r="AK31" s="3512">
        <v>20</v>
      </c>
      <c r="AL31" s="3512">
        <v>70</v>
      </c>
      <c r="AM31" s="3512" t="s">
        <v>3761</v>
      </c>
      <c r="AN31" s="3512" t="s">
        <v>3443</v>
      </c>
      <c r="AO31" s="3512" t="s">
        <v>3762</v>
      </c>
      <c r="AP31" s="3512" t="s">
        <v>3763</v>
      </c>
      <c r="AQ31" s="3512" t="s">
        <v>3436</v>
      </c>
    </row>
    <row r="32" spans="1:43">
      <c r="A32" s="3512" t="s">
        <v>3764</v>
      </c>
      <c r="B32" s="3512" t="s">
        <v>3765</v>
      </c>
      <c r="C32" s="3512" t="s">
        <v>3578</v>
      </c>
      <c r="D32" s="3512" t="s">
        <v>3463</v>
      </c>
      <c r="E32" s="3512">
        <v>38955.949999999997</v>
      </c>
      <c r="F32" s="3512">
        <v>66225.119999999995</v>
      </c>
      <c r="G32" s="3512" t="s">
        <v>3758</v>
      </c>
      <c r="H32" s="3512" t="s">
        <v>3429</v>
      </c>
      <c r="I32" s="3512" t="s">
        <v>3553</v>
      </c>
      <c r="J32" s="3512" t="s">
        <v>3443</v>
      </c>
      <c r="K32" s="3512" t="s">
        <v>3475</v>
      </c>
      <c r="L32" s="3512" t="s">
        <v>3543</v>
      </c>
      <c r="M32" s="3512" t="s">
        <v>3712</v>
      </c>
      <c r="N32" s="3512" t="s">
        <v>3750</v>
      </c>
      <c r="O32" s="3512" t="s">
        <v>3436</v>
      </c>
      <c r="P32" s="3512" t="s">
        <v>3531</v>
      </c>
      <c r="Q32" s="3512" t="s">
        <v>3531</v>
      </c>
      <c r="R32" s="3512">
        <v>0</v>
      </c>
      <c r="S32" s="3512">
        <v>0</v>
      </c>
      <c r="T32" s="3513">
        <v>43707.000497685185</v>
      </c>
      <c r="U32" s="3513">
        <v>43731.000497685185</v>
      </c>
      <c r="V32" s="3513">
        <v>43748.000497685185</v>
      </c>
      <c r="W32" s="3513">
        <v>43748.000497685185</v>
      </c>
      <c r="X32" s="3512" t="s">
        <v>3437</v>
      </c>
      <c r="Y32" s="3512" t="s">
        <v>3766</v>
      </c>
      <c r="Z32" s="3512" t="s">
        <v>3767</v>
      </c>
      <c r="AA32" s="3512">
        <v>83000</v>
      </c>
      <c r="AB32" s="3512">
        <v>16600</v>
      </c>
      <c r="AC32" s="3512" t="s">
        <v>3752</v>
      </c>
      <c r="AD32" s="3512">
        <v>91000</v>
      </c>
      <c r="AE32" s="3512">
        <v>1420.41</v>
      </c>
      <c r="AF32" s="3512">
        <v>1557.31</v>
      </c>
      <c r="AG32" s="3512">
        <v>12533</v>
      </c>
      <c r="AH32" s="3512">
        <v>13741</v>
      </c>
      <c r="AI32" s="3512" t="s">
        <v>3436</v>
      </c>
      <c r="AJ32" s="3512" t="s">
        <v>3436</v>
      </c>
      <c r="AK32" s="3512">
        <v>9.64</v>
      </c>
      <c r="AL32" s="3512">
        <v>70</v>
      </c>
      <c r="AM32" s="3512" t="s">
        <v>3443</v>
      </c>
      <c r="AN32" s="3512" t="s">
        <v>3443</v>
      </c>
      <c r="AO32" s="3512" t="s">
        <v>3436</v>
      </c>
      <c r="AP32" s="3512" t="s">
        <v>3436</v>
      </c>
      <c r="AQ32" s="3512" t="s">
        <v>3436</v>
      </c>
    </row>
    <row r="33" spans="1:43">
      <c r="A33" s="3512" t="s">
        <v>3768</v>
      </c>
      <c r="B33" s="3512" t="s">
        <v>3769</v>
      </c>
      <c r="C33" s="3512" t="s">
        <v>3485</v>
      </c>
      <c r="D33" s="3512" t="s">
        <v>3463</v>
      </c>
      <c r="E33" s="3512">
        <v>49008.11</v>
      </c>
      <c r="F33" s="3512">
        <v>107817.84</v>
      </c>
      <c r="G33" s="3512" t="s">
        <v>3749</v>
      </c>
      <c r="H33" s="3512" t="s">
        <v>3770</v>
      </c>
      <c r="I33" s="3512" t="s">
        <v>3553</v>
      </c>
      <c r="J33" s="3512" t="s">
        <v>3443</v>
      </c>
      <c r="K33" s="3512" t="s">
        <v>3432</v>
      </c>
      <c r="L33" s="3512" t="s">
        <v>3688</v>
      </c>
      <c r="M33" s="3512" t="s">
        <v>3771</v>
      </c>
      <c r="N33" s="3512" t="s">
        <v>3712</v>
      </c>
      <c r="O33" s="3512" t="s">
        <v>3436</v>
      </c>
      <c r="P33" s="3512" t="s">
        <v>3531</v>
      </c>
      <c r="Q33" s="3512" t="s">
        <v>3531</v>
      </c>
      <c r="R33" s="3512">
        <v>0</v>
      </c>
      <c r="S33" s="3512">
        <v>0</v>
      </c>
      <c r="T33" s="3513">
        <v>43676.000497685185</v>
      </c>
      <c r="U33" s="3513">
        <v>43697.000497685185</v>
      </c>
      <c r="V33" s="3513">
        <v>43706.000497685185</v>
      </c>
      <c r="W33" s="3513">
        <v>43706.000497685185</v>
      </c>
      <c r="X33" s="3512" t="s">
        <v>3437</v>
      </c>
      <c r="Y33" s="3512" t="s">
        <v>3772</v>
      </c>
      <c r="Z33" s="3512" t="s">
        <v>3773</v>
      </c>
      <c r="AA33" s="3512">
        <v>148000</v>
      </c>
      <c r="AB33" s="3512">
        <v>29600</v>
      </c>
      <c r="AC33" s="3512" t="s">
        <v>3774</v>
      </c>
      <c r="AD33" s="3512">
        <v>191000</v>
      </c>
      <c r="AE33" s="3512">
        <v>2013.27</v>
      </c>
      <c r="AF33" s="3512">
        <v>2598.21</v>
      </c>
      <c r="AG33" s="3512">
        <v>13727</v>
      </c>
      <c r="AH33" s="3512">
        <v>17715</v>
      </c>
      <c r="AI33" s="3512" t="s">
        <v>3436</v>
      </c>
      <c r="AJ33" s="3512" t="s">
        <v>3436</v>
      </c>
      <c r="AK33" s="3512">
        <v>29.05</v>
      </c>
      <c r="AL33" s="3512">
        <v>70</v>
      </c>
      <c r="AM33" s="3512" t="s">
        <v>3775</v>
      </c>
      <c r="AN33" s="3512" t="s">
        <v>3443</v>
      </c>
      <c r="AO33" s="3512" t="s">
        <v>3776</v>
      </c>
      <c r="AP33" s="3512" t="s">
        <v>3777</v>
      </c>
      <c r="AQ33" s="3512" t="s">
        <v>3436</v>
      </c>
    </row>
    <row r="34" spans="1:43">
      <c r="A34" s="3512" t="s">
        <v>3778</v>
      </c>
      <c r="B34" s="3512" t="s">
        <v>3779</v>
      </c>
      <c r="C34" s="3512" t="s">
        <v>3541</v>
      </c>
      <c r="D34" s="3512" t="s">
        <v>3463</v>
      </c>
      <c r="E34" s="3512">
        <v>20622.150000000001</v>
      </c>
      <c r="F34" s="3512">
        <v>31964.33</v>
      </c>
      <c r="G34" s="3512" t="s">
        <v>3780</v>
      </c>
      <c r="H34" s="3512" t="s">
        <v>3429</v>
      </c>
      <c r="I34" s="3512" t="s">
        <v>3553</v>
      </c>
      <c r="J34" s="3512" t="s">
        <v>3443</v>
      </c>
      <c r="K34" s="3512" t="s">
        <v>3781</v>
      </c>
      <c r="L34" s="3512" t="s">
        <v>3543</v>
      </c>
      <c r="M34" s="3512" t="s">
        <v>3782</v>
      </c>
      <c r="N34" s="3512" t="s">
        <v>3782</v>
      </c>
      <c r="O34" s="3512" t="s">
        <v>3436</v>
      </c>
      <c r="P34" s="3512" t="s">
        <v>3531</v>
      </c>
      <c r="Q34" s="3512" t="s">
        <v>3531</v>
      </c>
      <c r="R34" s="3512">
        <v>0</v>
      </c>
      <c r="S34" s="3512">
        <v>0</v>
      </c>
      <c r="T34" s="3513">
        <v>43655.000497685185</v>
      </c>
      <c r="U34" s="3513">
        <v>43675.000497685185</v>
      </c>
      <c r="V34" s="3513">
        <v>43684.000497685185</v>
      </c>
      <c r="W34" s="3513">
        <v>43684.000497685185</v>
      </c>
      <c r="X34" s="3512" t="s">
        <v>3437</v>
      </c>
      <c r="Y34" s="3512" t="s">
        <v>3719</v>
      </c>
      <c r="Z34" s="3512" t="s">
        <v>3720</v>
      </c>
      <c r="AA34" s="3512">
        <v>45000</v>
      </c>
      <c r="AB34" s="3512">
        <v>9000</v>
      </c>
      <c r="AC34" s="3512" t="s">
        <v>3783</v>
      </c>
      <c r="AD34" s="3512">
        <v>52000</v>
      </c>
      <c r="AE34" s="3512">
        <v>1454.75</v>
      </c>
      <c r="AF34" s="3512">
        <v>1681.04</v>
      </c>
      <c r="AG34" s="3512">
        <v>14078</v>
      </c>
      <c r="AH34" s="3512">
        <v>16268</v>
      </c>
      <c r="AI34" s="3512" t="s">
        <v>3436</v>
      </c>
      <c r="AJ34" s="3512" t="s">
        <v>3436</v>
      </c>
      <c r="AK34" s="3512">
        <v>15.56</v>
      </c>
      <c r="AL34" s="3512">
        <v>70</v>
      </c>
      <c r="AM34" s="3512" t="s">
        <v>3784</v>
      </c>
      <c r="AN34" s="3512" t="s">
        <v>3443</v>
      </c>
      <c r="AO34" s="3512" t="s">
        <v>3785</v>
      </c>
      <c r="AP34" s="3512" t="s">
        <v>3786</v>
      </c>
      <c r="AQ34" s="3512" t="s">
        <v>3436</v>
      </c>
    </row>
    <row r="35" spans="1:43">
      <c r="A35" s="3512" t="s">
        <v>3787</v>
      </c>
      <c r="B35" s="3512" t="s">
        <v>3788</v>
      </c>
      <c r="C35" s="3512" t="s">
        <v>3789</v>
      </c>
      <c r="D35" s="3512" t="s">
        <v>3463</v>
      </c>
      <c r="E35" s="3512">
        <v>28151.29</v>
      </c>
      <c r="F35" s="3512">
        <v>61932.84</v>
      </c>
      <c r="G35" s="3512" t="s">
        <v>3749</v>
      </c>
      <c r="H35" s="3512" t="s">
        <v>3429</v>
      </c>
      <c r="I35" s="3512" t="s">
        <v>3553</v>
      </c>
      <c r="J35" s="3512" t="s">
        <v>3443</v>
      </c>
      <c r="K35" s="3512" t="s">
        <v>3489</v>
      </c>
      <c r="L35" s="3512" t="s">
        <v>3688</v>
      </c>
      <c r="M35" s="3512" t="s">
        <v>3782</v>
      </c>
      <c r="N35" s="3512" t="s">
        <v>3782</v>
      </c>
      <c r="O35" s="3512" t="s">
        <v>3436</v>
      </c>
      <c r="P35" s="3512" t="s">
        <v>3531</v>
      </c>
      <c r="Q35" s="3512" t="s">
        <v>3531</v>
      </c>
      <c r="R35" s="3512">
        <v>0</v>
      </c>
      <c r="S35" s="3512">
        <v>0</v>
      </c>
      <c r="T35" s="3513">
        <v>43655.000497685185</v>
      </c>
      <c r="U35" s="3513">
        <v>43675.000497685185</v>
      </c>
      <c r="V35" s="3513">
        <v>43684.000497685185</v>
      </c>
      <c r="W35" s="3513">
        <v>43684.000497685185</v>
      </c>
      <c r="X35" s="3512" t="s">
        <v>3437</v>
      </c>
      <c r="Y35" s="3512" t="s">
        <v>3790</v>
      </c>
      <c r="Z35" s="3512" t="s">
        <v>3791</v>
      </c>
      <c r="AA35" s="3512">
        <v>40000</v>
      </c>
      <c r="AB35" s="3512">
        <v>8000</v>
      </c>
      <c r="AC35" s="3512" t="s">
        <v>3783</v>
      </c>
      <c r="AD35" s="3512">
        <v>40000</v>
      </c>
      <c r="AE35" s="3512">
        <v>947.26</v>
      </c>
      <c r="AF35" s="3512">
        <v>947.26</v>
      </c>
      <c r="AG35" s="3512">
        <v>6459</v>
      </c>
      <c r="AH35" s="3512">
        <v>6459</v>
      </c>
      <c r="AI35" s="3512" t="s">
        <v>3436</v>
      </c>
      <c r="AJ35" s="3512" t="s">
        <v>3436</v>
      </c>
      <c r="AK35" s="3512">
        <v>0</v>
      </c>
      <c r="AL35" s="3512">
        <v>70</v>
      </c>
      <c r="AM35" s="3512" t="s">
        <v>3792</v>
      </c>
      <c r="AN35" s="3512" t="s">
        <v>3443</v>
      </c>
      <c r="AO35" s="3512" t="s">
        <v>3793</v>
      </c>
      <c r="AP35" s="3512" t="s">
        <v>3794</v>
      </c>
      <c r="AQ35" s="3512" t="s">
        <v>3436</v>
      </c>
    </row>
    <row r="36" spans="1:43">
      <c r="A36" s="3512" t="s">
        <v>3795</v>
      </c>
      <c r="B36" s="3512" t="s">
        <v>3796</v>
      </c>
      <c r="C36" s="3512" t="s">
        <v>3485</v>
      </c>
      <c r="D36" s="3512" t="s">
        <v>3463</v>
      </c>
      <c r="E36" s="3512">
        <v>91380.82</v>
      </c>
      <c r="F36" s="3512">
        <v>228452</v>
      </c>
      <c r="G36" s="3512" t="s">
        <v>3797</v>
      </c>
      <c r="H36" s="3512" t="s">
        <v>3429</v>
      </c>
      <c r="I36" s="3512" t="s">
        <v>3553</v>
      </c>
      <c r="J36" s="3512" t="s">
        <v>3443</v>
      </c>
      <c r="K36" s="3512" t="s">
        <v>3489</v>
      </c>
      <c r="L36" s="3512" t="s">
        <v>3433</v>
      </c>
      <c r="M36" s="3512" t="s">
        <v>3798</v>
      </c>
      <c r="N36" s="3512" t="s">
        <v>3702</v>
      </c>
      <c r="O36" s="3512" t="s">
        <v>3799</v>
      </c>
      <c r="P36" s="3512" t="s">
        <v>3800</v>
      </c>
      <c r="Q36" s="3512" t="s">
        <v>3800</v>
      </c>
      <c r="R36" s="3512">
        <v>0</v>
      </c>
      <c r="S36" s="3512">
        <v>0</v>
      </c>
      <c r="T36" s="3513">
        <v>43616.000497685185</v>
      </c>
      <c r="U36" s="3513">
        <v>43640.000497685185</v>
      </c>
      <c r="V36" s="3513">
        <v>43649.000497685185</v>
      </c>
      <c r="W36" s="3513">
        <v>43649.000497685185</v>
      </c>
      <c r="X36" s="3512" t="s">
        <v>3437</v>
      </c>
      <c r="Y36" s="3512" t="s">
        <v>3801</v>
      </c>
      <c r="Z36" s="3512" t="s">
        <v>3802</v>
      </c>
      <c r="AA36" s="3512">
        <v>294000</v>
      </c>
      <c r="AB36" s="3512">
        <v>58800</v>
      </c>
      <c r="AC36" s="3512" t="s">
        <v>3436</v>
      </c>
      <c r="AD36" s="3512">
        <v>365000</v>
      </c>
      <c r="AE36" s="3512">
        <v>2144.87</v>
      </c>
      <c r="AF36" s="3512">
        <v>2662.85</v>
      </c>
      <c r="AG36" s="3512">
        <v>12869</v>
      </c>
      <c r="AH36" s="3512">
        <v>15977</v>
      </c>
      <c r="AI36" s="3512" t="s">
        <v>3803</v>
      </c>
      <c r="AJ36" s="3512" t="s">
        <v>3804</v>
      </c>
      <c r="AK36" s="3512">
        <v>24.15</v>
      </c>
      <c r="AL36" s="3512">
        <v>70</v>
      </c>
      <c r="AM36" s="3512" t="s">
        <v>3805</v>
      </c>
      <c r="AN36" s="3512" t="s">
        <v>3443</v>
      </c>
      <c r="AO36" s="3512" t="s">
        <v>3806</v>
      </c>
      <c r="AP36" s="3512" t="s">
        <v>3807</v>
      </c>
      <c r="AQ36" s="3512" t="s">
        <v>3436</v>
      </c>
    </row>
    <row r="37" spans="1:43">
      <c r="A37" s="3512" t="s">
        <v>3808</v>
      </c>
      <c r="B37" s="3512" t="s">
        <v>3809</v>
      </c>
      <c r="C37" s="3512" t="s">
        <v>3470</v>
      </c>
      <c r="D37" s="3512" t="s">
        <v>3427</v>
      </c>
      <c r="E37" s="3512">
        <v>73856.86</v>
      </c>
      <c r="F37" s="3512">
        <v>212977.06</v>
      </c>
      <c r="G37" s="3512">
        <v>2.88</v>
      </c>
      <c r="H37" s="3512" t="s">
        <v>3810</v>
      </c>
      <c r="I37" s="3512" t="s">
        <v>3553</v>
      </c>
      <c r="J37" s="3512" t="s">
        <v>3811</v>
      </c>
      <c r="K37" s="3512" t="s">
        <v>3436</v>
      </c>
      <c r="L37" s="3512" t="s">
        <v>3812</v>
      </c>
      <c r="M37" s="3512" t="s">
        <v>3813</v>
      </c>
      <c r="N37" s="3512" t="s">
        <v>3712</v>
      </c>
      <c r="O37" s="3512" t="s">
        <v>3799</v>
      </c>
      <c r="P37" s="3512" t="s">
        <v>3814</v>
      </c>
      <c r="Q37" s="3512" t="s">
        <v>3814</v>
      </c>
      <c r="R37" s="3512">
        <v>0</v>
      </c>
      <c r="S37" s="3512">
        <v>0</v>
      </c>
      <c r="T37" s="3513">
        <v>43616.000497685185</v>
      </c>
      <c r="U37" s="3513">
        <v>43640.000497685185</v>
      </c>
      <c r="V37" s="3513">
        <v>43649.000497685185</v>
      </c>
      <c r="W37" s="3513">
        <v>43649.000497685185</v>
      </c>
      <c r="X37" s="3512" t="s">
        <v>3437</v>
      </c>
      <c r="Y37" s="3512" t="s">
        <v>3766</v>
      </c>
      <c r="Z37" s="3512" t="s">
        <v>3767</v>
      </c>
      <c r="AA37" s="3512">
        <v>315000</v>
      </c>
      <c r="AB37" s="3512">
        <v>63000</v>
      </c>
      <c r="AC37" s="3512" t="s">
        <v>3436</v>
      </c>
      <c r="AD37" s="3512">
        <v>373000</v>
      </c>
      <c r="AE37" s="3512">
        <v>2843.34</v>
      </c>
      <c r="AF37" s="3512">
        <v>3366.87</v>
      </c>
      <c r="AG37" s="3512">
        <v>14790</v>
      </c>
      <c r="AH37" s="3512">
        <v>17514</v>
      </c>
      <c r="AI37" s="3512" t="s">
        <v>3815</v>
      </c>
      <c r="AJ37" s="3512" t="s">
        <v>3816</v>
      </c>
      <c r="AK37" s="3512">
        <v>18.41</v>
      </c>
      <c r="AL37" s="3512" t="s">
        <v>3671</v>
      </c>
      <c r="AM37" s="3512" t="s">
        <v>3817</v>
      </c>
      <c r="AN37" s="3512" t="s">
        <v>3443</v>
      </c>
      <c r="AO37" s="3512" t="s">
        <v>3818</v>
      </c>
      <c r="AP37" s="3512" t="s">
        <v>3819</v>
      </c>
      <c r="AQ37" s="3512" t="s">
        <v>3436</v>
      </c>
    </row>
    <row r="38" spans="1:43">
      <c r="A38" s="3512" t="s">
        <v>3820</v>
      </c>
      <c r="B38" s="3512" t="s">
        <v>3821</v>
      </c>
      <c r="C38" s="3512" t="s">
        <v>3789</v>
      </c>
      <c r="D38" s="3512" t="s">
        <v>3463</v>
      </c>
      <c r="E38" s="3512">
        <v>59919.66</v>
      </c>
      <c r="F38" s="3512">
        <v>129426.5</v>
      </c>
      <c r="G38" s="3512">
        <v>2.16</v>
      </c>
      <c r="H38" s="3512" t="s">
        <v>3770</v>
      </c>
      <c r="I38" s="3512" t="s">
        <v>3553</v>
      </c>
      <c r="J38" s="3512" t="s">
        <v>3443</v>
      </c>
      <c r="K38" s="3512" t="s">
        <v>3436</v>
      </c>
      <c r="L38" s="3512" t="s">
        <v>3822</v>
      </c>
      <c r="M38" s="3512" t="s">
        <v>3823</v>
      </c>
      <c r="N38" s="3512" t="s">
        <v>3750</v>
      </c>
      <c r="O38" s="3512" t="s">
        <v>3799</v>
      </c>
      <c r="P38" s="3512" t="s">
        <v>3824</v>
      </c>
      <c r="Q38" s="3512" t="s">
        <v>3824</v>
      </c>
      <c r="R38" s="3512">
        <v>0</v>
      </c>
      <c r="S38" s="3512">
        <v>0</v>
      </c>
      <c r="T38" s="3513">
        <v>43601.000497685185</v>
      </c>
      <c r="U38" s="3513">
        <v>43622.000497685185</v>
      </c>
      <c r="V38" s="3513">
        <v>43634.000497685185</v>
      </c>
      <c r="W38" s="3513">
        <v>43634.000497685185</v>
      </c>
      <c r="X38" s="3512" t="s">
        <v>3437</v>
      </c>
      <c r="Y38" s="3512" t="s">
        <v>3825</v>
      </c>
      <c r="Z38" s="3512" t="s">
        <v>3791</v>
      </c>
      <c r="AA38" s="3512">
        <v>79000</v>
      </c>
      <c r="AB38" s="3512">
        <v>15800</v>
      </c>
      <c r="AC38" s="3512" t="s">
        <v>3436</v>
      </c>
      <c r="AD38" s="3512">
        <v>107000</v>
      </c>
      <c r="AE38" s="3512">
        <v>878.95</v>
      </c>
      <c r="AF38" s="3512">
        <v>1190.48</v>
      </c>
      <c r="AG38" s="3512">
        <v>6104</v>
      </c>
      <c r="AH38" s="3512">
        <v>8267</v>
      </c>
      <c r="AI38" s="3512" t="s">
        <v>3826</v>
      </c>
      <c r="AJ38" s="3512" t="s">
        <v>3827</v>
      </c>
      <c r="AK38" s="3512">
        <v>35.44</v>
      </c>
      <c r="AL38" s="3512">
        <v>70</v>
      </c>
      <c r="AM38" s="3512" t="s">
        <v>3828</v>
      </c>
      <c r="AN38" s="3512" t="s">
        <v>3443</v>
      </c>
      <c r="AO38" s="3512" t="s">
        <v>3829</v>
      </c>
      <c r="AP38" s="3512" t="s">
        <v>3830</v>
      </c>
      <c r="AQ38" s="3512" t="s">
        <v>3436</v>
      </c>
    </row>
    <row r="39" spans="1:43">
      <c r="A39" s="3512" t="s">
        <v>3831</v>
      </c>
      <c r="B39" s="3512" t="s">
        <v>3832</v>
      </c>
      <c r="C39" s="3512" t="s">
        <v>3789</v>
      </c>
      <c r="D39" s="3512" t="s">
        <v>3427</v>
      </c>
      <c r="E39" s="3512">
        <v>71291.66</v>
      </c>
      <c r="F39" s="3512">
        <v>134370.82</v>
      </c>
      <c r="G39" s="3512">
        <v>1.97</v>
      </c>
      <c r="H39" s="3512" t="s">
        <v>3833</v>
      </c>
      <c r="I39" s="3512" t="s">
        <v>3553</v>
      </c>
      <c r="J39" s="3512" t="s">
        <v>3443</v>
      </c>
      <c r="K39" s="3512" t="s">
        <v>3436</v>
      </c>
      <c r="L39" s="3512" t="s">
        <v>3436</v>
      </c>
      <c r="M39" s="3512" t="s">
        <v>3834</v>
      </c>
      <c r="N39" s="3512" t="s">
        <v>3835</v>
      </c>
      <c r="O39" s="3512" t="s">
        <v>3799</v>
      </c>
      <c r="P39" s="3512" t="s">
        <v>3836</v>
      </c>
      <c r="Q39" s="3512" t="s">
        <v>3836</v>
      </c>
      <c r="R39" s="3512">
        <v>0</v>
      </c>
      <c r="S39" s="3512">
        <v>0</v>
      </c>
      <c r="T39" s="3513">
        <v>43554.000497685185</v>
      </c>
      <c r="U39" s="3513">
        <v>43575.000497685185</v>
      </c>
      <c r="V39" s="3513">
        <v>43585.000497685185</v>
      </c>
      <c r="W39" s="3513">
        <v>43585.000497685185</v>
      </c>
      <c r="X39" s="3512" t="s">
        <v>3437</v>
      </c>
      <c r="Y39" s="3512" t="s">
        <v>3837</v>
      </c>
      <c r="Z39" s="3512" t="s">
        <v>3838</v>
      </c>
      <c r="AA39" s="3512">
        <v>74000</v>
      </c>
      <c r="AB39" s="3512">
        <v>14800</v>
      </c>
      <c r="AC39" s="3512" t="s">
        <v>3436</v>
      </c>
      <c r="AD39" s="3512">
        <v>105000</v>
      </c>
      <c r="AE39" s="3512">
        <v>691.99</v>
      </c>
      <c r="AF39" s="3512">
        <v>981.88</v>
      </c>
      <c r="AG39" s="3512">
        <v>5507</v>
      </c>
      <c r="AH39" s="3512">
        <v>7814</v>
      </c>
      <c r="AI39" s="3512" t="s">
        <v>3839</v>
      </c>
      <c r="AJ39" s="3512" t="s">
        <v>3840</v>
      </c>
      <c r="AK39" s="3512">
        <v>41.89</v>
      </c>
      <c r="AL39" s="3512" t="s">
        <v>3841</v>
      </c>
      <c r="AM39" s="3512" t="s">
        <v>3842</v>
      </c>
      <c r="AN39" s="3512" t="s">
        <v>3443</v>
      </c>
      <c r="AO39" s="3512" t="s">
        <v>3843</v>
      </c>
      <c r="AP39" s="3512" t="s">
        <v>3844</v>
      </c>
      <c r="AQ39" s="3512" t="s">
        <v>3436</v>
      </c>
    </row>
    <row r="40" spans="1:43">
      <c r="A40" s="3512" t="s">
        <v>3845</v>
      </c>
      <c r="B40" s="3512" t="s">
        <v>3846</v>
      </c>
      <c r="C40" s="3512" t="s">
        <v>3789</v>
      </c>
      <c r="D40" s="3512" t="s">
        <v>3463</v>
      </c>
      <c r="E40" s="3512">
        <v>84928.78</v>
      </c>
      <c r="F40" s="3512">
        <v>169857.6</v>
      </c>
      <c r="G40" s="3512" t="s">
        <v>3847</v>
      </c>
      <c r="H40" s="3512" t="s">
        <v>3429</v>
      </c>
      <c r="I40" s="3512" t="s">
        <v>3553</v>
      </c>
      <c r="J40" s="3512" t="s">
        <v>3443</v>
      </c>
      <c r="K40" s="3512" t="s">
        <v>3489</v>
      </c>
      <c r="L40" s="3512" t="s">
        <v>3511</v>
      </c>
      <c r="M40" s="3512" t="s">
        <v>3835</v>
      </c>
      <c r="N40" s="3512" t="s">
        <v>3835</v>
      </c>
      <c r="O40" s="3512" t="s">
        <v>3799</v>
      </c>
      <c r="P40" s="3512" t="s">
        <v>3848</v>
      </c>
      <c r="Q40" s="3512" t="s">
        <v>3848</v>
      </c>
      <c r="R40" s="3512">
        <v>0</v>
      </c>
      <c r="S40" s="3512">
        <v>0</v>
      </c>
      <c r="T40" s="3513">
        <v>43554.000497685185</v>
      </c>
      <c r="U40" s="3513">
        <v>43575.000497685185</v>
      </c>
      <c r="V40" s="3513">
        <v>43585.000497685185</v>
      </c>
      <c r="W40" s="3513">
        <v>43585.000497685185</v>
      </c>
      <c r="X40" s="3512" t="s">
        <v>3437</v>
      </c>
      <c r="Y40" s="3512" t="s">
        <v>3849</v>
      </c>
      <c r="Z40" s="3512" t="s">
        <v>3690</v>
      </c>
      <c r="AA40" s="3512">
        <v>100000</v>
      </c>
      <c r="AB40" s="3512">
        <v>20000</v>
      </c>
      <c r="AC40" s="3512" t="s">
        <v>3436</v>
      </c>
      <c r="AD40" s="3512">
        <v>144000</v>
      </c>
      <c r="AE40" s="3512">
        <v>784.97</v>
      </c>
      <c r="AF40" s="3512">
        <v>1130.3599999999999</v>
      </c>
      <c r="AG40" s="3512">
        <v>5887</v>
      </c>
      <c r="AH40" s="3512">
        <v>8478</v>
      </c>
      <c r="AI40" s="3512" t="s">
        <v>3850</v>
      </c>
      <c r="AJ40" s="3512" t="s">
        <v>3851</v>
      </c>
      <c r="AK40" s="3512">
        <v>44</v>
      </c>
      <c r="AL40" s="3512" t="s">
        <v>3464</v>
      </c>
      <c r="AM40" s="3512" t="s">
        <v>3852</v>
      </c>
      <c r="AN40" s="3512" t="s">
        <v>3443</v>
      </c>
      <c r="AO40" s="3512" t="s">
        <v>3853</v>
      </c>
      <c r="AP40" s="3512" t="s">
        <v>3854</v>
      </c>
      <c r="AQ40" s="3512" t="s">
        <v>3436</v>
      </c>
    </row>
    <row r="41" spans="1:43">
      <c r="A41" s="3512" t="s">
        <v>3855</v>
      </c>
      <c r="B41" s="3512" t="s">
        <v>3856</v>
      </c>
      <c r="C41" s="3512" t="s">
        <v>3541</v>
      </c>
      <c r="D41" s="3512" t="s">
        <v>3463</v>
      </c>
      <c r="E41" s="3512">
        <v>90424.47</v>
      </c>
      <c r="F41" s="3512">
        <v>235103.6</v>
      </c>
      <c r="G41" s="3512" t="s">
        <v>3678</v>
      </c>
      <c r="H41" s="3512" t="s">
        <v>3429</v>
      </c>
      <c r="I41" s="3512" t="s">
        <v>3553</v>
      </c>
      <c r="J41" s="3512" t="s">
        <v>3443</v>
      </c>
      <c r="K41" s="3512" t="s">
        <v>3489</v>
      </c>
      <c r="L41" s="3512" t="s">
        <v>3857</v>
      </c>
      <c r="M41" s="3512" t="s">
        <v>3858</v>
      </c>
      <c r="N41" s="3512" t="s">
        <v>3859</v>
      </c>
      <c r="O41" s="3512" t="s">
        <v>3799</v>
      </c>
      <c r="P41" s="3512" t="s">
        <v>3860</v>
      </c>
      <c r="Q41" s="3512" t="s">
        <v>3860</v>
      </c>
      <c r="R41" s="3512">
        <v>0</v>
      </c>
      <c r="S41" s="3512">
        <v>0</v>
      </c>
      <c r="T41" s="3513">
        <v>43523.000497685185</v>
      </c>
      <c r="U41" s="3513">
        <v>43543.000497685185</v>
      </c>
      <c r="V41" s="3513">
        <v>43553.000497685185</v>
      </c>
      <c r="W41" s="3513">
        <v>43553.000497685185</v>
      </c>
      <c r="X41" s="3512" t="s">
        <v>3437</v>
      </c>
      <c r="Y41" s="3512" t="s">
        <v>3861</v>
      </c>
      <c r="Z41" s="3512" t="s">
        <v>3862</v>
      </c>
      <c r="AA41" s="3512">
        <v>413000</v>
      </c>
      <c r="AB41" s="3512">
        <v>82600</v>
      </c>
      <c r="AC41" s="3512" t="s">
        <v>3436</v>
      </c>
      <c r="AD41" s="3512">
        <v>532000</v>
      </c>
      <c r="AE41" s="3512">
        <v>3044.9</v>
      </c>
      <c r="AF41" s="3512">
        <v>3922.24</v>
      </c>
      <c r="AG41" s="3512">
        <v>17567</v>
      </c>
      <c r="AH41" s="3512">
        <v>22628</v>
      </c>
      <c r="AI41" s="3512" t="s">
        <v>3863</v>
      </c>
      <c r="AJ41" s="3512" t="s">
        <v>3864</v>
      </c>
      <c r="AK41" s="3512">
        <v>28.81</v>
      </c>
      <c r="AL41" s="3512">
        <v>70</v>
      </c>
      <c r="AM41" s="3512" t="s">
        <v>3443</v>
      </c>
      <c r="AN41" s="3512" t="s">
        <v>3443</v>
      </c>
      <c r="AO41" s="3512" t="s">
        <v>3436</v>
      </c>
      <c r="AP41" s="3512" t="s">
        <v>3436</v>
      </c>
      <c r="AQ41" s="3512" t="s">
        <v>3436</v>
      </c>
    </row>
    <row r="42" spans="1:43">
      <c r="A42" s="3512" t="s">
        <v>3865</v>
      </c>
      <c r="B42" s="3512" t="s">
        <v>3866</v>
      </c>
      <c r="C42" s="3512" t="s">
        <v>3602</v>
      </c>
      <c r="D42" s="3512" t="s">
        <v>3427</v>
      </c>
      <c r="E42" s="3512">
        <v>99201.37</v>
      </c>
      <c r="F42" s="3512">
        <v>109121.5</v>
      </c>
      <c r="G42" s="3512" t="s">
        <v>3867</v>
      </c>
      <c r="H42" s="3512" t="s">
        <v>3868</v>
      </c>
      <c r="I42" s="3512" t="s">
        <v>3553</v>
      </c>
      <c r="J42" s="3512" t="s">
        <v>3443</v>
      </c>
      <c r="K42" s="3512" t="s">
        <v>3436</v>
      </c>
      <c r="L42" s="3512" t="s">
        <v>3869</v>
      </c>
      <c r="M42" s="3512" t="s">
        <v>3870</v>
      </c>
      <c r="N42" s="3512" t="s">
        <v>3435</v>
      </c>
      <c r="O42" s="3512" t="s">
        <v>3436</v>
      </c>
      <c r="P42" s="3512" t="s">
        <v>3531</v>
      </c>
      <c r="Q42" s="3512" t="s">
        <v>3531</v>
      </c>
      <c r="R42" s="3512">
        <v>0</v>
      </c>
      <c r="S42" s="3512">
        <v>0</v>
      </c>
      <c r="T42" s="3513">
        <v>43242.000497685185</v>
      </c>
      <c r="U42" s="3513">
        <v>43262.000497685185</v>
      </c>
      <c r="V42" s="3513">
        <v>43273.000497685185</v>
      </c>
      <c r="W42" s="3513">
        <v>43273.000497685185</v>
      </c>
      <c r="X42" s="3512" t="s">
        <v>3437</v>
      </c>
      <c r="Y42" s="3512" t="s">
        <v>3871</v>
      </c>
      <c r="Z42" s="3512" t="s">
        <v>3872</v>
      </c>
      <c r="AA42" s="3512">
        <v>92600</v>
      </c>
      <c r="AB42" s="3512">
        <v>46300</v>
      </c>
      <c r="AC42" s="3512" t="s">
        <v>3436</v>
      </c>
      <c r="AD42" s="3512">
        <v>92600</v>
      </c>
      <c r="AE42" s="3512">
        <v>622.29999999999995</v>
      </c>
      <c r="AF42" s="3512">
        <v>622.29999999999995</v>
      </c>
      <c r="AG42" s="3512">
        <v>8486</v>
      </c>
      <c r="AH42" s="3512">
        <v>8486</v>
      </c>
      <c r="AI42" s="3512" t="s">
        <v>3436</v>
      </c>
      <c r="AJ42" s="3512" t="s">
        <v>3436</v>
      </c>
      <c r="AK42" s="3512">
        <v>0</v>
      </c>
      <c r="AL42" s="3512" t="s">
        <v>3671</v>
      </c>
      <c r="AM42" s="3512" t="s">
        <v>3443</v>
      </c>
      <c r="AN42" s="3512" t="s">
        <v>3443</v>
      </c>
      <c r="AO42" s="3512" t="s">
        <v>3436</v>
      </c>
      <c r="AP42" s="3512" t="s">
        <v>3436</v>
      </c>
      <c r="AQ42" s="3512" t="s">
        <v>3436</v>
      </c>
    </row>
    <row r="43" spans="1:43">
      <c r="A43" s="3512" t="s">
        <v>3873</v>
      </c>
      <c r="B43" s="3512" t="s">
        <v>3874</v>
      </c>
      <c r="C43" s="3512" t="s">
        <v>3789</v>
      </c>
      <c r="D43" s="3512" t="s">
        <v>3427</v>
      </c>
      <c r="E43" s="3512">
        <v>87301.16</v>
      </c>
      <c r="F43" s="3512">
        <v>218252.9</v>
      </c>
      <c r="G43" s="3512" t="s">
        <v>3875</v>
      </c>
      <c r="H43" s="3512" t="s">
        <v>3876</v>
      </c>
      <c r="I43" s="3512" t="s">
        <v>3553</v>
      </c>
      <c r="J43" s="3512" t="s">
        <v>3443</v>
      </c>
      <c r="K43" s="3512" t="s">
        <v>3436</v>
      </c>
      <c r="L43" s="3512" t="s">
        <v>3869</v>
      </c>
      <c r="M43" s="3512" t="s">
        <v>3870</v>
      </c>
      <c r="N43" s="3512" t="s">
        <v>3435</v>
      </c>
      <c r="O43" s="3512" t="s">
        <v>3436</v>
      </c>
      <c r="P43" s="3512" t="s">
        <v>3531</v>
      </c>
      <c r="Q43" s="3512" t="s">
        <v>3531</v>
      </c>
      <c r="R43" s="3512">
        <v>0</v>
      </c>
      <c r="S43" s="3512">
        <v>0</v>
      </c>
      <c r="T43" s="3513">
        <v>43242.000497685185</v>
      </c>
      <c r="U43" s="3513">
        <v>43262.000497685185</v>
      </c>
      <c r="V43" s="3513">
        <v>43273.000497685185</v>
      </c>
      <c r="W43" s="3513">
        <v>43273.000497685185</v>
      </c>
      <c r="X43" s="3512" t="s">
        <v>3437</v>
      </c>
      <c r="Y43" s="3512" t="s">
        <v>3877</v>
      </c>
      <c r="Z43" s="3512" t="s">
        <v>3625</v>
      </c>
      <c r="AA43" s="3512">
        <v>138000</v>
      </c>
      <c r="AB43" s="3512">
        <v>69000</v>
      </c>
      <c r="AC43" s="3512" t="s">
        <v>3436</v>
      </c>
      <c r="AD43" s="3512">
        <v>139000</v>
      </c>
      <c r="AE43" s="3512">
        <v>1053.82</v>
      </c>
      <c r="AF43" s="3512">
        <v>1061.46</v>
      </c>
      <c r="AG43" s="3512">
        <v>6323</v>
      </c>
      <c r="AH43" s="3512">
        <v>6369</v>
      </c>
      <c r="AI43" s="3512" t="s">
        <v>3436</v>
      </c>
      <c r="AJ43" s="3512" t="s">
        <v>3436</v>
      </c>
      <c r="AK43" s="3512">
        <v>0.72</v>
      </c>
      <c r="AL43" s="3512" t="s">
        <v>3671</v>
      </c>
      <c r="AM43" s="3512" t="s">
        <v>3443</v>
      </c>
      <c r="AN43" s="3512" t="s">
        <v>3443</v>
      </c>
      <c r="AO43" s="3512" t="s">
        <v>3436</v>
      </c>
      <c r="AP43" s="3512" t="s">
        <v>3436</v>
      </c>
      <c r="AQ43" s="3512" t="s">
        <v>3436</v>
      </c>
    </row>
    <row r="44" spans="1:43">
      <c r="A44" s="3512" t="s">
        <v>3878</v>
      </c>
      <c r="B44" s="3512" t="s">
        <v>3879</v>
      </c>
      <c r="C44" s="3512" t="s">
        <v>3470</v>
      </c>
      <c r="D44" s="3512" t="s">
        <v>3463</v>
      </c>
      <c r="E44" s="3512">
        <v>29005.25</v>
      </c>
      <c r="F44" s="3512">
        <v>69612.600000000006</v>
      </c>
      <c r="G44" s="3512" t="s">
        <v>3880</v>
      </c>
      <c r="H44" s="3512" t="s">
        <v>3881</v>
      </c>
      <c r="I44" s="3512" t="s">
        <v>3553</v>
      </c>
      <c r="J44" s="3512" t="s">
        <v>3443</v>
      </c>
      <c r="K44" s="3512" t="s">
        <v>3489</v>
      </c>
      <c r="L44" s="3512" t="s">
        <v>3869</v>
      </c>
      <c r="M44" s="3512" t="s">
        <v>3738</v>
      </c>
      <c r="N44" s="3512" t="s">
        <v>3738</v>
      </c>
      <c r="O44" s="3512" t="s">
        <v>3436</v>
      </c>
      <c r="P44" s="3512" t="s">
        <v>3531</v>
      </c>
      <c r="Q44" s="3512" t="s">
        <v>3531</v>
      </c>
      <c r="R44" s="3512">
        <v>0</v>
      </c>
      <c r="S44" s="3512">
        <v>0</v>
      </c>
      <c r="T44" s="3513">
        <v>43104.000497685185</v>
      </c>
      <c r="U44" s="3513">
        <v>43123.000497685185</v>
      </c>
      <c r="V44" s="3513">
        <v>43137.000497685185</v>
      </c>
      <c r="W44" s="3513">
        <v>43137.000497685185</v>
      </c>
      <c r="X44" s="3512" t="s">
        <v>3437</v>
      </c>
      <c r="Y44" s="3512" t="s">
        <v>3882</v>
      </c>
      <c r="Z44" s="3512" t="s">
        <v>3436</v>
      </c>
      <c r="AA44" s="3512">
        <v>20100</v>
      </c>
      <c r="AB44" s="3512">
        <v>4020</v>
      </c>
      <c r="AC44" s="3512" t="s">
        <v>3436</v>
      </c>
      <c r="AD44" s="3512">
        <v>20100</v>
      </c>
      <c r="AE44" s="3512">
        <v>461.99</v>
      </c>
      <c r="AF44" s="3512">
        <v>461.99</v>
      </c>
      <c r="AG44" s="3512">
        <v>2887</v>
      </c>
      <c r="AH44" s="3512">
        <v>2887</v>
      </c>
      <c r="AI44" s="3512" t="s">
        <v>3436</v>
      </c>
      <c r="AJ44" s="3512" t="s">
        <v>3436</v>
      </c>
      <c r="AK44" s="3512">
        <v>0</v>
      </c>
      <c r="AL44" s="3512" t="s">
        <v>3464</v>
      </c>
      <c r="AM44" s="3512" t="s">
        <v>3443</v>
      </c>
      <c r="AN44" s="3512" t="s">
        <v>3443</v>
      </c>
      <c r="AO44" s="3512" t="s">
        <v>3436</v>
      </c>
      <c r="AP44" s="3512" t="s">
        <v>3436</v>
      </c>
      <c r="AQ44" s="3512" t="s">
        <v>3436</v>
      </c>
    </row>
    <row r="45" spans="1:43">
      <c r="A45" s="3512" t="s">
        <v>3883</v>
      </c>
      <c r="B45" s="3512" t="s">
        <v>3884</v>
      </c>
      <c r="C45" s="3512" t="s">
        <v>3470</v>
      </c>
      <c r="D45" s="3512" t="s">
        <v>3427</v>
      </c>
      <c r="E45" s="3512">
        <v>96410.18</v>
      </c>
      <c r="F45" s="3512">
        <v>273804.90000000002</v>
      </c>
      <c r="G45" s="3512" t="s">
        <v>3885</v>
      </c>
      <c r="H45" s="3512" t="s">
        <v>3886</v>
      </c>
      <c r="I45" s="3512" t="s">
        <v>3553</v>
      </c>
      <c r="J45" s="3512" t="s">
        <v>3443</v>
      </c>
      <c r="K45" s="3512" t="s">
        <v>3436</v>
      </c>
      <c r="L45" s="3512" t="s">
        <v>3869</v>
      </c>
      <c r="M45" s="3512" t="s">
        <v>3887</v>
      </c>
      <c r="N45" s="3512" t="s">
        <v>3435</v>
      </c>
      <c r="O45" s="3512" t="s">
        <v>3436</v>
      </c>
      <c r="P45" s="3512" t="s">
        <v>3531</v>
      </c>
      <c r="Q45" s="3512" t="s">
        <v>3531</v>
      </c>
      <c r="R45" s="3512">
        <v>0</v>
      </c>
      <c r="S45" s="3512">
        <v>0</v>
      </c>
      <c r="T45" s="3513">
        <v>43000.000497685185</v>
      </c>
      <c r="U45" s="3513">
        <v>43023.000497685185</v>
      </c>
      <c r="V45" s="3513">
        <v>43033.000497685185</v>
      </c>
      <c r="W45" s="3513">
        <v>43033.000497685185</v>
      </c>
      <c r="X45" s="3512" t="s">
        <v>3437</v>
      </c>
      <c r="Y45" s="3512" t="s">
        <v>3888</v>
      </c>
      <c r="Z45" s="3512" t="s">
        <v>3513</v>
      </c>
      <c r="AA45" s="3512">
        <v>380000</v>
      </c>
      <c r="AB45" s="3512">
        <v>190000</v>
      </c>
      <c r="AC45" s="3512" t="s">
        <v>3436</v>
      </c>
      <c r="AD45" s="3512">
        <v>491000</v>
      </c>
      <c r="AE45" s="3512">
        <v>2627.66</v>
      </c>
      <c r="AF45" s="3512">
        <v>3395.22</v>
      </c>
      <c r="AG45" s="3512">
        <v>13878</v>
      </c>
      <c r="AH45" s="3512">
        <v>17932</v>
      </c>
      <c r="AI45" s="3512" t="s">
        <v>3436</v>
      </c>
      <c r="AJ45" s="3512" t="s">
        <v>3436</v>
      </c>
      <c r="AK45" s="3512">
        <v>29.21</v>
      </c>
      <c r="AL45" s="3512" t="s">
        <v>3889</v>
      </c>
      <c r="AM45" s="3512" t="s">
        <v>3443</v>
      </c>
      <c r="AN45" s="3512" t="s">
        <v>3443</v>
      </c>
      <c r="AO45" s="3512" t="s">
        <v>3436</v>
      </c>
      <c r="AP45" s="3512" t="s">
        <v>3436</v>
      </c>
      <c r="AQ45" s="3512" t="s">
        <v>3436</v>
      </c>
    </row>
    <row r="46" spans="1:43">
      <c r="A46" s="3512" t="s">
        <v>3890</v>
      </c>
      <c r="B46" s="3512" t="s">
        <v>3891</v>
      </c>
      <c r="C46" s="3512" t="s">
        <v>3541</v>
      </c>
      <c r="D46" s="3512" t="s">
        <v>3463</v>
      </c>
      <c r="E46" s="3512">
        <v>35279.99</v>
      </c>
      <c r="F46" s="3512">
        <v>88199.97</v>
      </c>
      <c r="G46" s="3512" t="s">
        <v>3892</v>
      </c>
      <c r="H46" s="3512" t="s">
        <v>3429</v>
      </c>
      <c r="I46" s="3512" t="s">
        <v>3553</v>
      </c>
      <c r="J46" s="3512" t="s">
        <v>3443</v>
      </c>
      <c r="K46" s="3512" t="s">
        <v>3432</v>
      </c>
      <c r="L46" s="3512" t="s">
        <v>3869</v>
      </c>
      <c r="M46" s="3512" t="s">
        <v>3887</v>
      </c>
      <c r="N46" s="3512" t="s">
        <v>3893</v>
      </c>
      <c r="O46" s="3512" t="s">
        <v>3436</v>
      </c>
      <c r="P46" s="3512" t="s">
        <v>3531</v>
      </c>
      <c r="Q46" s="3512" t="s">
        <v>3894</v>
      </c>
      <c r="R46" s="3512">
        <v>0</v>
      </c>
      <c r="S46" s="3512">
        <v>0</v>
      </c>
      <c r="T46" s="3513">
        <v>43000.000497685185</v>
      </c>
      <c r="U46" s="3513">
        <v>43023.000497685185</v>
      </c>
      <c r="V46" s="3513">
        <v>43033.000497685185</v>
      </c>
      <c r="W46" s="3513">
        <v>43033.000497685185</v>
      </c>
      <c r="X46" s="3512" t="s">
        <v>3437</v>
      </c>
      <c r="Y46" s="3512" t="s">
        <v>3713</v>
      </c>
      <c r="Z46" s="3512" t="s">
        <v>3895</v>
      </c>
      <c r="AA46" s="3512">
        <v>125000</v>
      </c>
      <c r="AB46" s="3512">
        <v>62500</v>
      </c>
      <c r="AC46" s="3512" t="s">
        <v>3436</v>
      </c>
      <c r="AD46" s="3512">
        <v>176000</v>
      </c>
      <c r="AE46" s="3512">
        <v>2362.06</v>
      </c>
      <c r="AF46" s="3512">
        <v>3325.78</v>
      </c>
      <c r="AG46" s="3512">
        <v>14172</v>
      </c>
      <c r="AH46" s="3512">
        <v>19955</v>
      </c>
      <c r="AI46" s="3512" t="s">
        <v>3436</v>
      </c>
      <c r="AJ46" s="3512" t="s">
        <v>3896</v>
      </c>
      <c r="AK46" s="3512">
        <v>40.799999999999997</v>
      </c>
      <c r="AL46" s="3512" t="s">
        <v>3464</v>
      </c>
      <c r="AM46" s="3512" t="s">
        <v>3443</v>
      </c>
      <c r="AN46" s="3512" t="s">
        <v>3443</v>
      </c>
      <c r="AO46" s="3512" t="s">
        <v>3436</v>
      </c>
      <c r="AP46" s="3512" t="s">
        <v>3436</v>
      </c>
      <c r="AQ46" s="3512" t="s">
        <v>3436</v>
      </c>
    </row>
    <row r="47" spans="1:43">
      <c r="A47" s="3512" t="s">
        <v>3897</v>
      </c>
      <c r="B47" s="3512" t="s">
        <v>3898</v>
      </c>
      <c r="C47" s="3512" t="s">
        <v>3470</v>
      </c>
      <c r="D47" s="3512" t="s">
        <v>3463</v>
      </c>
      <c r="E47" s="3512">
        <v>27376.1</v>
      </c>
      <c r="F47" s="3512">
        <v>62965.03</v>
      </c>
      <c r="G47" s="3512" t="s">
        <v>3899</v>
      </c>
      <c r="H47" s="3512" t="s">
        <v>3429</v>
      </c>
      <c r="I47" s="3512" t="s">
        <v>3553</v>
      </c>
      <c r="J47" s="3512" t="s">
        <v>3443</v>
      </c>
      <c r="K47" s="3512" t="s">
        <v>3489</v>
      </c>
      <c r="L47" s="3512" t="s">
        <v>3869</v>
      </c>
      <c r="M47" s="3512" t="s">
        <v>3887</v>
      </c>
      <c r="N47" s="3512" t="s">
        <v>3893</v>
      </c>
      <c r="O47" s="3512" t="s">
        <v>3436</v>
      </c>
      <c r="P47" s="3512" t="s">
        <v>3531</v>
      </c>
      <c r="Q47" s="3512" t="s">
        <v>3894</v>
      </c>
      <c r="R47" s="3512">
        <v>0</v>
      </c>
      <c r="S47" s="3512">
        <v>0</v>
      </c>
      <c r="T47" s="3513">
        <v>42896.000497685185</v>
      </c>
      <c r="U47" s="3513">
        <v>42918.000497685185</v>
      </c>
      <c r="V47" s="3513">
        <v>42928.000497685185</v>
      </c>
      <c r="W47" s="3513">
        <v>42928.000497685185</v>
      </c>
      <c r="X47" s="3512" t="s">
        <v>3437</v>
      </c>
      <c r="Y47" s="3512" t="s">
        <v>3900</v>
      </c>
      <c r="Z47" s="3512" t="s">
        <v>3901</v>
      </c>
      <c r="AA47" s="3512">
        <v>83000</v>
      </c>
      <c r="AB47" s="3512">
        <v>41500</v>
      </c>
      <c r="AC47" s="3512" t="s">
        <v>3436</v>
      </c>
      <c r="AD47" s="3512">
        <v>125000</v>
      </c>
      <c r="AE47" s="3512">
        <v>2021.23</v>
      </c>
      <c r="AF47" s="3512">
        <v>3044.02</v>
      </c>
      <c r="AG47" s="3512">
        <v>13182</v>
      </c>
      <c r="AH47" s="3512">
        <v>19852</v>
      </c>
      <c r="AI47" s="3512" t="s">
        <v>3436</v>
      </c>
      <c r="AJ47" s="3512" t="s">
        <v>3902</v>
      </c>
      <c r="AK47" s="3512">
        <v>50.6</v>
      </c>
      <c r="AL47" s="3512">
        <v>70</v>
      </c>
      <c r="AM47" s="3512" t="s">
        <v>3443</v>
      </c>
      <c r="AN47" s="3512" t="s">
        <v>3443</v>
      </c>
      <c r="AO47" s="3512" t="s">
        <v>3436</v>
      </c>
      <c r="AP47" s="3512" t="s">
        <v>3436</v>
      </c>
      <c r="AQ47" s="3512" t="s">
        <v>3436</v>
      </c>
    </row>
    <row r="48" spans="1:43">
      <c r="A48" s="3512" t="s">
        <v>3903</v>
      </c>
      <c r="B48" s="3512" t="s">
        <v>3904</v>
      </c>
      <c r="C48" s="3512" t="s">
        <v>3470</v>
      </c>
      <c r="D48" s="3512" t="s">
        <v>3463</v>
      </c>
      <c r="E48" s="3512">
        <v>18545.240000000002</v>
      </c>
      <c r="F48" s="3512">
        <v>40799.53</v>
      </c>
      <c r="G48" s="3512" t="s">
        <v>3905</v>
      </c>
      <c r="H48" s="3512" t="s">
        <v>3429</v>
      </c>
      <c r="I48" s="3512" t="s">
        <v>3553</v>
      </c>
      <c r="J48" s="3512" t="s">
        <v>3443</v>
      </c>
      <c r="K48" s="3512" t="s">
        <v>3906</v>
      </c>
      <c r="L48" s="3512" t="s">
        <v>3869</v>
      </c>
      <c r="M48" s="3512" t="s">
        <v>3887</v>
      </c>
      <c r="N48" s="3512" t="s">
        <v>3893</v>
      </c>
      <c r="O48" s="3512" t="s">
        <v>3436</v>
      </c>
      <c r="P48" s="3512" t="s">
        <v>3531</v>
      </c>
      <c r="Q48" s="3512" t="s">
        <v>3907</v>
      </c>
      <c r="R48" s="3512">
        <v>0</v>
      </c>
      <c r="S48" s="3512">
        <v>0</v>
      </c>
      <c r="T48" s="3513">
        <v>42896.000497685185</v>
      </c>
      <c r="U48" s="3513">
        <v>42918.000497685185</v>
      </c>
      <c r="V48" s="3513">
        <v>42928.000497685185</v>
      </c>
      <c r="W48" s="3513">
        <v>42928.000497685185</v>
      </c>
      <c r="X48" s="3512" t="s">
        <v>3437</v>
      </c>
      <c r="Y48" s="3512" t="s">
        <v>3908</v>
      </c>
      <c r="Z48" s="3512" t="s">
        <v>3909</v>
      </c>
      <c r="AA48" s="3512">
        <v>54000</v>
      </c>
      <c r="AB48" s="3512">
        <v>27000</v>
      </c>
      <c r="AC48" s="3512" t="s">
        <v>3436</v>
      </c>
      <c r="AD48" s="3512">
        <v>81000</v>
      </c>
      <c r="AE48" s="3512">
        <v>1941.2</v>
      </c>
      <c r="AF48" s="3512">
        <v>2911.8</v>
      </c>
      <c r="AG48" s="3512">
        <v>13235</v>
      </c>
      <c r="AH48" s="3512">
        <v>19853</v>
      </c>
      <c r="AI48" s="3512" t="s">
        <v>3436</v>
      </c>
      <c r="AJ48" s="3512" t="s">
        <v>3910</v>
      </c>
      <c r="AK48" s="3512">
        <v>50</v>
      </c>
      <c r="AL48" s="3512">
        <v>70</v>
      </c>
      <c r="AM48" s="3512" t="s">
        <v>3443</v>
      </c>
      <c r="AN48" s="3512" t="s">
        <v>3443</v>
      </c>
      <c r="AO48" s="3512" t="s">
        <v>3436</v>
      </c>
      <c r="AP48" s="3512" t="s">
        <v>3436</v>
      </c>
      <c r="AQ48" s="3512" t="s">
        <v>3436</v>
      </c>
    </row>
    <row r="49" spans="1:43">
      <c r="A49" s="3512" t="s">
        <v>3911</v>
      </c>
      <c r="B49" s="3512" t="s">
        <v>3912</v>
      </c>
      <c r="C49" s="3512" t="s">
        <v>3470</v>
      </c>
      <c r="D49" s="3512" t="s">
        <v>3427</v>
      </c>
      <c r="E49" s="3512">
        <v>48077.41</v>
      </c>
      <c r="F49" s="3512">
        <v>220194.5</v>
      </c>
      <c r="G49" s="3512" t="s">
        <v>3913</v>
      </c>
      <c r="H49" s="3512" t="s">
        <v>3914</v>
      </c>
      <c r="I49" s="3512" t="s">
        <v>3553</v>
      </c>
      <c r="J49" s="3512" t="s">
        <v>3443</v>
      </c>
      <c r="K49" s="3512" t="s">
        <v>3436</v>
      </c>
      <c r="L49" s="3512" t="s">
        <v>3869</v>
      </c>
      <c r="M49" s="3512" t="s">
        <v>3887</v>
      </c>
      <c r="N49" s="3512" t="s">
        <v>3893</v>
      </c>
      <c r="O49" s="3512" t="s">
        <v>3436</v>
      </c>
      <c r="P49" s="3512" t="s">
        <v>3531</v>
      </c>
      <c r="Q49" s="3512" t="s">
        <v>3915</v>
      </c>
      <c r="R49" s="3512">
        <v>0</v>
      </c>
      <c r="S49" s="3512">
        <v>0</v>
      </c>
      <c r="T49" s="3513">
        <v>42888.000497685185</v>
      </c>
      <c r="U49" s="3513">
        <v>42913.000497685185</v>
      </c>
      <c r="V49" s="3513">
        <v>42923.000497685185</v>
      </c>
      <c r="W49" s="3513">
        <v>42923.000497685185</v>
      </c>
      <c r="X49" s="3512" t="s">
        <v>3437</v>
      </c>
      <c r="Y49" s="3512" t="s">
        <v>3916</v>
      </c>
      <c r="Z49" s="3512" t="s">
        <v>3917</v>
      </c>
      <c r="AA49" s="3512">
        <v>145000</v>
      </c>
      <c r="AB49" s="3512">
        <v>72500</v>
      </c>
      <c r="AC49" s="3512" t="s">
        <v>3436</v>
      </c>
      <c r="AD49" s="3512">
        <v>200000</v>
      </c>
      <c r="AE49" s="3512">
        <v>2010.65</v>
      </c>
      <c r="AF49" s="3512">
        <v>2773.31</v>
      </c>
      <c r="AG49" s="3512">
        <v>6585</v>
      </c>
      <c r="AH49" s="3512">
        <v>9083</v>
      </c>
      <c r="AI49" s="3512" t="s">
        <v>3436</v>
      </c>
      <c r="AJ49" s="3512" t="s">
        <v>3918</v>
      </c>
      <c r="AK49" s="3512">
        <v>37.93</v>
      </c>
      <c r="AL49" s="3512">
        <v>70</v>
      </c>
      <c r="AM49" s="3512" t="s">
        <v>3443</v>
      </c>
      <c r="AN49" s="3512" t="s">
        <v>3443</v>
      </c>
      <c r="AO49" s="3512" t="s">
        <v>3436</v>
      </c>
      <c r="AP49" s="3512" t="s">
        <v>3436</v>
      </c>
      <c r="AQ49" s="3512" t="s">
        <v>3436</v>
      </c>
    </row>
    <row r="50" spans="1:43">
      <c r="A50" s="3512" t="s">
        <v>3919</v>
      </c>
      <c r="B50" s="3512" t="s">
        <v>3920</v>
      </c>
      <c r="C50" s="3512" t="s">
        <v>3470</v>
      </c>
      <c r="D50" s="3512" t="s">
        <v>3427</v>
      </c>
      <c r="E50" s="3512">
        <v>140542.1</v>
      </c>
      <c r="F50" s="3512">
        <v>598709.19999999995</v>
      </c>
      <c r="G50" s="3512" t="s">
        <v>3921</v>
      </c>
      <c r="H50" s="3512" t="s">
        <v>3914</v>
      </c>
      <c r="I50" s="3512" t="s">
        <v>3553</v>
      </c>
      <c r="J50" s="3512" t="s">
        <v>3443</v>
      </c>
      <c r="K50" s="3512" t="s">
        <v>3436</v>
      </c>
      <c r="L50" s="3512" t="s">
        <v>3869</v>
      </c>
      <c r="M50" s="3512" t="s">
        <v>3887</v>
      </c>
      <c r="N50" s="3512" t="s">
        <v>3893</v>
      </c>
      <c r="O50" s="3512" t="s">
        <v>3436</v>
      </c>
      <c r="P50" s="3512" t="s">
        <v>3531</v>
      </c>
      <c r="Q50" s="3512" t="s">
        <v>3922</v>
      </c>
      <c r="R50" s="3512">
        <v>0</v>
      </c>
      <c r="S50" s="3512">
        <v>0</v>
      </c>
      <c r="T50" s="3513">
        <v>42888.000497685185</v>
      </c>
      <c r="U50" s="3513">
        <v>42913.000497685185</v>
      </c>
      <c r="V50" s="3513">
        <v>42923.000497685185</v>
      </c>
      <c r="W50" s="3513">
        <v>42923.000497685185</v>
      </c>
      <c r="X50" s="3512" t="s">
        <v>3437</v>
      </c>
      <c r="Y50" s="3512" t="s">
        <v>3923</v>
      </c>
      <c r="Z50" s="3512" t="s">
        <v>3503</v>
      </c>
      <c r="AA50" s="3512">
        <v>470000</v>
      </c>
      <c r="AB50" s="3512">
        <v>235000</v>
      </c>
      <c r="AC50" s="3512" t="s">
        <v>3436</v>
      </c>
      <c r="AD50" s="3512">
        <v>720000</v>
      </c>
      <c r="AE50" s="3512">
        <v>2229.46</v>
      </c>
      <c r="AF50" s="3512">
        <v>3415.35</v>
      </c>
      <c r="AG50" s="3512">
        <v>7850</v>
      </c>
      <c r="AH50" s="3512">
        <v>12026</v>
      </c>
      <c r="AI50" s="3512" t="s">
        <v>3436</v>
      </c>
      <c r="AJ50" s="3512" t="s">
        <v>3924</v>
      </c>
      <c r="AK50" s="3512">
        <v>53.19</v>
      </c>
      <c r="AL50" s="3512">
        <v>70</v>
      </c>
      <c r="AM50" s="3512" t="s">
        <v>3443</v>
      </c>
      <c r="AN50" s="3512" t="s">
        <v>3443</v>
      </c>
      <c r="AO50" s="3512" t="s">
        <v>3436</v>
      </c>
      <c r="AP50" s="3512" t="s">
        <v>3436</v>
      </c>
      <c r="AQ50" s="3512" t="s">
        <v>3436</v>
      </c>
    </row>
    <row r="51" spans="1:43">
      <c r="A51" s="3512" t="s">
        <v>3925</v>
      </c>
      <c r="B51" s="3512" t="s">
        <v>3926</v>
      </c>
      <c r="C51" s="3512" t="s">
        <v>3470</v>
      </c>
      <c r="D51" s="3512" t="s">
        <v>3463</v>
      </c>
      <c r="E51" s="3512">
        <v>52784.7</v>
      </c>
      <c r="F51" s="3512">
        <v>84455.52</v>
      </c>
      <c r="G51" s="3512" t="s">
        <v>3927</v>
      </c>
      <c r="H51" s="3512" t="s">
        <v>3429</v>
      </c>
      <c r="I51" s="3512" t="s">
        <v>3553</v>
      </c>
      <c r="J51" s="3512" t="s">
        <v>3443</v>
      </c>
      <c r="K51" s="3512" t="s">
        <v>3489</v>
      </c>
      <c r="L51" s="3512" t="s">
        <v>3869</v>
      </c>
      <c r="M51" s="3512" t="s">
        <v>3928</v>
      </c>
      <c r="N51" s="3512" t="s">
        <v>3928</v>
      </c>
      <c r="O51" s="3512" t="s">
        <v>3436</v>
      </c>
      <c r="P51" s="3512" t="s">
        <v>3531</v>
      </c>
      <c r="Q51" s="3512" t="s">
        <v>3531</v>
      </c>
      <c r="R51" s="3512">
        <v>0</v>
      </c>
      <c r="S51" s="3512">
        <v>0</v>
      </c>
      <c r="T51" s="3513">
        <v>42790.000497685185</v>
      </c>
      <c r="U51" s="3513">
        <v>42814.000497685185</v>
      </c>
      <c r="V51" s="3513">
        <v>42825.000497685185</v>
      </c>
      <c r="W51" s="3513">
        <v>42825.000497685185</v>
      </c>
      <c r="X51" s="3512" t="s">
        <v>3437</v>
      </c>
      <c r="Y51" s="3512" t="s">
        <v>3929</v>
      </c>
      <c r="Z51" s="3512" t="s">
        <v>3477</v>
      </c>
      <c r="AA51" s="3512">
        <v>128000</v>
      </c>
      <c r="AB51" s="3512">
        <v>51200</v>
      </c>
      <c r="AC51" s="3512" t="s">
        <v>3436</v>
      </c>
      <c r="AD51" s="3512">
        <v>201000</v>
      </c>
      <c r="AE51" s="3512">
        <v>1616.63</v>
      </c>
      <c r="AF51" s="3512">
        <v>2538.61</v>
      </c>
      <c r="AG51" s="3512">
        <v>15156</v>
      </c>
      <c r="AH51" s="3512">
        <v>23800</v>
      </c>
      <c r="AI51" s="3512" t="s">
        <v>3436</v>
      </c>
      <c r="AJ51" s="3512" t="s">
        <v>3436</v>
      </c>
      <c r="AK51" s="3512">
        <v>57.03</v>
      </c>
      <c r="AL51" s="3512">
        <v>70</v>
      </c>
      <c r="AM51" s="3512" t="s">
        <v>3443</v>
      </c>
      <c r="AN51" s="3512" t="s">
        <v>3443</v>
      </c>
      <c r="AO51" s="3512" t="s">
        <v>3436</v>
      </c>
      <c r="AP51" s="3512" t="s">
        <v>3436</v>
      </c>
      <c r="AQ51" s="3512" t="s">
        <v>3436</v>
      </c>
    </row>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8" t="s">
        <v>1830</v>
      </c>
      <c r="B1" s="3548"/>
      <c r="C1" s="3548"/>
      <c r="D1" s="3548"/>
      <c r="E1" s="3548"/>
      <c r="F1" s="3548"/>
      <c r="G1" s="3548"/>
      <c r="H1" s="3548"/>
      <c r="I1" s="3548"/>
      <c r="J1" s="3548"/>
      <c r="K1" s="3548"/>
      <c r="L1" s="3548"/>
      <c r="M1" s="3548"/>
      <c r="N1" s="3548"/>
      <c r="O1" s="3548"/>
      <c r="P1" s="3548"/>
      <c r="Q1" s="3548"/>
      <c r="R1" s="3548"/>
    </row>
    <row r="2" spans="1:18">
      <c r="A2" s="1677" t="s">
        <v>1832</v>
      </c>
      <c r="B2" s="1677"/>
      <c r="C2" s="1677"/>
      <c r="D2" s="1677"/>
      <c r="E2" s="1677"/>
      <c r="F2" s="1677"/>
      <c r="G2" s="1677"/>
      <c r="H2" s="1677"/>
      <c r="I2" s="1678"/>
      <c r="J2" s="1678"/>
      <c r="K2" s="1679" t="str">
        <f>"估价期日："&amp;TEXT(项目基本情况!D3,"yyyy年m月d日;;")</f>
        <v>估价期日：2022年7月5日</v>
      </c>
      <c r="L2" s="1677"/>
      <c r="M2" s="1677"/>
      <c r="N2" s="1677"/>
      <c r="O2" s="1677"/>
      <c r="P2" s="1677"/>
      <c r="Q2" s="1677"/>
      <c r="R2" s="1679" t="str">
        <f>"估价期日的国有建设用地使用权性质："&amp;项目基本情况!B16</f>
        <v>估价期日的国有建设用地使用权性质：出让</v>
      </c>
    </row>
    <row r="3" spans="1:18" ht="23.25" customHeight="1">
      <c r="A3" s="3549" t="s">
        <v>1821</v>
      </c>
      <c r="B3" s="3549" t="s">
        <v>2447</v>
      </c>
      <c r="C3" s="3550" t="s">
        <v>1822</v>
      </c>
      <c r="D3" s="3549" t="s">
        <v>2451</v>
      </c>
      <c r="E3" s="3544" t="s">
        <v>1823</v>
      </c>
      <c r="F3" s="3544"/>
      <c r="G3" s="3544"/>
      <c r="H3" s="3544" t="s">
        <v>1824</v>
      </c>
      <c r="I3" s="3544"/>
      <c r="J3" s="3544"/>
      <c r="K3" s="3550" t="s">
        <v>1825</v>
      </c>
      <c r="L3" s="3550" t="s">
        <v>1826</v>
      </c>
      <c r="M3" s="3549" t="s">
        <v>2448</v>
      </c>
      <c r="N3" s="3551" t="str">
        <f>"（分摊）"&amp;项目基本情况!B16&amp;"国有建设用地使用权面积/㎡"</f>
        <v>（分摊）出让国有建设用地使用权面积/㎡</v>
      </c>
      <c r="O3" s="3549" t="s">
        <v>1855</v>
      </c>
      <c r="P3" s="3550" t="s">
        <v>1835</v>
      </c>
      <c r="Q3" s="3550" t="s">
        <v>1856</v>
      </c>
      <c r="R3" s="3550" t="s">
        <v>1827</v>
      </c>
    </row>
    <row r="4" spans="1:18" ht="36.75" customHeight="1">
      <c r="A4" s="3549"/>
      <c r="B4" s="3549"/>
      <c r="C4" s="3550"/>
      <c r="D4" s="3549"/>
      <c r="E4" s="2413" t="s">
        <v>1834</v>
      </c>
      <c r="F4" s="2413" t="s">
        <v>2460</v>
      </c>
      <c r="G4" s="2413" t="s">
        <v>1828</v>
      </c>
      <c r="H4" s="2413" t="s">
        <v>1829</v>
      </c>
      <c r="I4" s="2413" t="s">
        <v>2461</v>
      </c>
      <c r="J4" s="2413" t="s">
        <v>1828</v>
      </c>
      <c r="K4" s="3550"/>
      <c r="L4" s="3550"/>
      <c r="M4" s="3549"/>
      <c r="N4" s="3551"/>
      <c r="O4" s="3549"/>
      <c r="P4" s="3550"/>
      <c r="Q4" s="3550"/>
      <c r="R4" s="3550"/>
    </row>
    <row r="5" spans="1:18" ht="135" customHeight="1">
      <c r="A5" s="1812" t="s">
        <v>2371</v>
      </c>
      <c r="B5" s="2506" t="s">
        <v>2369</v>
      </c>
      <c r="C5" s="2412">
        <v>22</v>
      </c>
      <c r="D5" s="2411" t="s">
        <v>2370</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64770.31</v>
      </c>
      <c r="O5" s="1680">
        <f>项目基本情况!C21</f>
        <v>225000.80999999997</v>
      </c>
      <c r="P5" s="1680">
        <f ca="1">结果表!E42</f>
        <v>39497</v>
      </c>
      <c r="Q5" s="1680">
        <f ca="1">结果表!D42</f>
        <v>11370</v>
      </c>
      <c r="R5" s="1681">
        <f ca="1">结果表!C42</f>
        <v>255824</v>
      </c>
    </row>
    <row r="6" spans="1:18">
      <c r="A6" s="3545" t="str">
        <f>IF(项目基本情况!B9="市场价格","——","抵押价格")</f>
        <v>抵押价格</v>
      </c>
      <c r="B6" s="3546"/>
      <c r="C6" s="3546"/>
      <c r="D6" s="3546"/>
      <c r="E6" s="3546"/>
      <c r="F6" s="3546"/>
      <c r="G6" s="3546"/>
      <c r="H6" s="3546"/>
      <c r="I6" s="3546"/>
      <c r="J6" s="3546"/>
      <c r="K6" s="3546"/>
      <c r="L6" s="3546"/>
      <c r="M6" s="3546"/>
      <c r="N6" s="3546"/>
      <c r="O6" s="3546"/>
      <c r="P6" s="3546"/>
      <c r="Q6" s="3547"/>
      <c r="R6" s="1682">
        <f ca="1">结果表!O39</f>
        <v>255824</v>
      </c>
    </row>
    <row r="7" spans="1:18">
      <c r="A7" s="3545" t="str">
        <f>IF(项目基本情况!B9="市场价格","——",IF(项目基本情况!E8="已注销及未注销","抵押担保权已注销时的抵押价格","——"))</f>
        <v>——</v>
      </c>
      <c r="B7" s="3546"/>
      <c r="C7" s="3546"/>
      <c r="D7" s="3546"/>
      <c r="E7" s="3546"/>
      <c r="F7" s="3546"/>
      <c r="G7" s="3546"/>
      <c r="H7" s="3546"/>
      <c r="I7" s="3546"/>
      <c r="J7" s="3546"/>
      <c r="K7" s="3546"/>
      <c r="L7" s="3546"/>
      <c r="M7" s="3546"/>
      <c r="N7" s="3546"/>
      <c r="O7" s="3546"/>
      <c r="P7" s="3546"/>
      <c r="Q7" s="3547"/>
      <c r="R7" s="1682" t="str">
        <f>结果表!O40</f>
        <v>——</v>
      </c>
    </row>
    <row r="8" spans="1:18">
      <c r="A8" s="3545">
        <f>IF(项目基本情况!B9="市场价格","——",项目基本情况!E9)</f>
        <v>0</v>
      </c>
      <c r="B8" s="3546"/>
      <c r="C8" s="3546"/>
      <c r="D8" s="3546"/>
      <c r="E8" s="3546"/>
      <c r="F8" s="3546"/>
      <c r="G8" s="3546"/>
      <c r="H8" s="3546"/>
      <c r="I8" s="3546"/>
      <c r="J8" s="3546"/>
      <c r="K8" s="3546"/>
      <c r="L8" s="3546"/>
      <c r="M8" s="3546"/>
      <c r="N8" s="3546"/>
      <c r="O8" s="3546"/>
      <c r="P8" s="3546"/>
      <c r="Q8" s="3547"/>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553" t="s">
        <v>1857</v>
      </c>
      <c r="B1" s="3553"/>
      <c r="C1" s="3553"/>
      <c r="D1" s="3553"/>
    </row>
    <row r="2" spans="1:4" ht="47.25" customHeight="1">
      <c r="A2" s="3554" t="str">
        <f>"1.权利限制："&amp;项目基本情况!L24&amp;"未设定租赁等其他他项权利。"</f>
        <v>1.权利限制：根据估价对象《不动产权证书》原件、《国有土地使用权》复印件，截至估价期日，估价对象抵押权未见登记。未设定租赁等其他他项权利。</v>
      </c>
      <c r="B2" s="3554"/>
      <c r="C2" s="3554"/>
      <c r="D2" s="3554"/>
    </row>
    <row r="3" spans="1:4" ht="48" customHeight="1">
      <c r="A3" s="35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3"/>
      <c r="C3" s="3553"/>
      <c r="D3" s="3553"/>
    </row>
    <row r="4" spans="1:4" ht="36.75" customHeight="1">
      <c r="A4" s="3553" t="str">
        <f>"3.估价规划限制条件：详见"&amp;项目基本情况!E21&amp;"。"</f>
        <v>3.估价规划限制条件：详见《建设工程规划许可证》[]、《出让合同》[]。</v>
      </c>
      <c r="B4" s="3553"/>
      <c r="C4" s="3553"/>
      <c r="D4" s="3553"/>
    </row>
    <row r="5" spans="1:4">
      <c r="A5" s="3552" t="s">
        <v>1858</v>
      </c>
      <c r="B5" s="3552"/>
      <c r="C5" s="3552"/>
      <c r="D5" s="3552"/>
    </row>
    <row r="6" spans="1:4">
      <c r="A6" s="3553" t="s">
        <v>1836</v>
      </c>
      <c r="B6" s="3553"/>
      <c r="C6" s="3553"/>
      <c r="D6" s="3553"/>
    </row>
    <row r="7" spans="1:4" ht="33" customHeight="1">
      <c r="A7" s="3553" t="s">
        <v>2291</v>
      </c>
      <c r="B7" s="3553"/>
      <c r="C7" s="3553"/>
      <c r="D7" s="3553"/>
    </row>
    <row r="8" spans="1:4" ht="32.25" customHeight="1">
      <c r="A8" s="35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3"/>
      <c r="C8" s="3553"/>
      <c r="D8" s="3553"/>
    </row>
    <row r="9" spans="1:4" ht="33.75" customHeight="1">
      <c r="A9" s="35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3"/>
      <c r="C9" s="3553"/>
      <c r="D9" s="3553"/>
    </row>
    <row r="10" spans="1:4">
      <c r="A10" s="3553" t="str">
        <f>IF(项目基本情况!B8="抵押","4.估价师所知悉的法定优先受偿款情况为：","——")</f>
        <v>4.估价师所知悉的法定优先受偿款情况为：</v>
      </c>
      <c r="B10" s="3553"/>
      <c r="C10" s="3553"/>
      <c r="D10" s="3553"/>
    </row>
    <row r="11" spans="1:4" ht="37.5" customHeight="1">
      <c r="A11" s="35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5"/>
      <c r="C11" s="3555"/>
      <c r="D11" s="3555"/>
    </row>
    <row r="12" spans="1:4" ht="168" customHeight="1">
      <c r="A12" s="3552" t="s">
        <v>1860</v>
      </c>
      <c r="B12" s="3552"/>
      <c r="C12" s="3552"/>
      <c r="D12" s="3552"/>
    </row>
    <row r="13" spans="1:4">
      <c r="A13" s="3556" t="s">
        <v>2462</v>
      </c>
      <c r="B13" s="3556"/>
      <c r="C13" s="3556"/>
      <c r="D13" s="3556"/>
    </row>
    <row r="14" spans="1:4">
      <c r="A14" s="3555" t="str">
        <f>IF(项目基本情况!B8="抵押","综上，"&amp;结果表!K47,"——")</f>
        <v>综上，本次评估不存在估价师知悉的法定优先受偿款</v>
      </c>
      <c r="B14" s="3555"/>
      <c r="C14" s="3555"/>
      <c r="D14" s="3555"/>
    </row>
    <row r="15" spans="1:4" ht="58.5" customHeight="1">
      <c r="A15" s="35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3"/>
      <c r="C15" s="3553"/>
      <c r="D15" s="3553"/>
    </row>
    <row r="16" spans="1:4" ht="70.5" customHeight="1">
      <c r="A16" s="35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3"/>
      <c r="C16" s="3553"/>
      <c r="D16" s="3553"/>
    </row>
    <row r="17" spans="1:4">
      <c r="A17" s="3553" t="s">
        <v>2418</v>
      </c>
      <c r="B17" s="3553"/>
      <c r="C17" s="3553"/>
      <c r="D17" s="3553"/>
    </row>
    <row r="18" spans="1:4">
      <c r="A18" s="3553" t="s">
        <v>2410</v>
      </c>
      <c r="B18" s="3553"/>
      <c r="C18" s="3553"/>
      <c r="D18" s="3553"/>
    </row>
    <row r="19" spans="1:4">
      <c r="A19" s="2507" t="s">
        <v>2411</v>
      </c>
      <c r="B19" s="2507" t="s">
        <v>2412</v>
      </c>
      <c r="C19" s="2507" t="s">
        <v>2413</v>
      </c>
      <c r="D19" s="2507" t="s">
        <v>2414</v>
      </c>
    </row>
    <row r="20" spans="1:4">
      <c r="A20" s="2507" t="str">
        <f>项目基本情况!B4</f>
        <v>吴薇</v>
      </c>
      <c r="B20" s="2507">
        <f ca="1">项目基本情况!C4</f>
        <v>2002110125</v>
      </c>
      <c r="C20" s="2509"/>
      <c r="D20" s="1670" t="s">
        <v>2419</v>
      </c>
    </row>
    <row r="21" spans="1:4">
      <c r="A21" s="2507" t="str">
        <f>项目基本情况!D4</f>
        <v>崔锴</v>
      </c>
      <c r="B21" s="2507">
        <f ca="1">项目基本情况!E4</f>
        <v>2010110070</v>
      </c>
      <c r="C21" s="2509"/>
      <c r="D21" s="1670" t="s">
        <v>2420</v>
      </c>
    </row>
    <row r="23" spans="1:4">
      <c r="A23" s="3553" t="s">
        <v>2415</v>
      </c>
      <c r="B23" s="3553"/>
      <c r="C23" s="3553"/>
      <c r="D23" s="3553"/>
    </row>
    <row r="24" spans="1:4">
      <c r="A24" s="2507" t="s">
        <v>2411</v>
      </c>
      <c r="B24" s="2507" t="s">
        <v>2416</v>
      </c>
      <c r="C24" s="2507" t="s">
        <v>2413</v>
      </c>
      <c r="D24" s="2507" t="s">
        <v>2414</v>
      </c>
    </row>
    <row r="25" spans="1:4">
      <c r="A25" s="2510" t="s">
        <v>2417</v>
      </c>
      <c r="B25" s="2507" t="s">
        <v>931</v>
      </c>
      <c r="C25" s="2509"/>
      <c r="D25" s="1670" t="s">
        <v>2420</v>
      </c>
    </row>
    <row r="29" spans="1:4">
      <c r="D29" s="2508" t="s">
        <v>1831</v>
      </c>
    </row>
    <row r="30" spans="1:4">
      <c r="D30" s="25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564" t="s">
        <v>53</v>
      </c>
      <c r="B15" s="3565" t="s">
        <v>826</v>
      </c>
      <c r="C15" s="3561"/>
    </row>
    <row r="16" spans="1:7" ht="14.25">
      <c r="A16" s="3564"/>
      <c r="B16" s="3562" t="s">
        <v>54</v>
      </c>
      <c r="C16" s="1118" t="s">
        <v>53</v>
      </c>
    </row>
    <row r="17" spans="1:3" ht="14.25">
      <c r="A17" s="3564"/>
      <c r="B17" s="3562"/>
      <c r="C17" s="1118" t="s">
        <v>55</v>
      </c>
    </row>
    <row r="18" spans="1:3" ht="14.25">
      <c r="A18" s="3564"/>
      <c r="B18" s="3562"/>
      <c r="C18" s="1118" t="s">
        <v>56</v>
      </c>
    </row>
    <row r="19" spans="1:3" ht="14.25">
      <c r="A19" s="3564"/>
      <c r="B19" s="3560" t="s">
        <v>57</v>
      </c>
      <c r="C19" s="3561"/>
    </row>
    <row r="20" spans="1:3" ht="14.25">
      <c r="A20" s="1119" t="s">
        <v>58</v>
      </c>
      <c r="B20" s="1120"/>
      <c r="C20" s="1121"/>
    </row>
    <row r="21" spans="1:3" ht="14.25">
      <c r="A21" s="3563" t="s">
        <v>59</v>
      </c>
      <c r="B21" s="3560" t="s">
        <v>60</v>
      </c>
      <c r="C21" s="3561"/>
    </row>
    <row r="22" spans="1:3" ht="14.25">
      <c r="A22" s="3563"/>
      <c r="B22" s="3560" t="s">
        <v>61</v>
      </c>
      <c r="C22" s="3561"/>
    </row>
    <row r="23" spans="1:3" ht="14.25">
      <c r="A23" s="3563"/>
      <c r="B23" s="3560" t="s">
        <v>62</v>
      </c>
      <c r="C23" s="3561"/>
    </row>
    <row r="24" spans="1:3" ht="14.25">
      <c r="A24" s="3563"/>
      <c r="B24" s="3566" t="s">
        <v>63</v>
      </c>
      <c r="C24" s="1122" t="s">
        <v>817</v>
      </c>
    </row>
    <row r="25" spans="1:3" ht="14.25">
      <c r="A25" s="3563"/>
      <c r="B25" s="3567"/>
      <c r="C25" s="1122" t="s">
        <v>818</v>
      </c>
    </row>
    <row r="26" spans="1:3" ht="14.25">
      <c r="A26" s="3563"/>
      <c r="B26" s="3567"/>
      <c r="C26" s="1122" t="s">
        <v>819</v>
      </c>
    </row>
    <row r="27" spans="1:3" ht="14.25">
      <c r="A27" s="3563"/>
      <c r="B27" s="3567"/>
      <c r="C27" s="1122" t="s">
        <v>820</v>
      </c>
    </row>
    <row r="28" spans="1:3" ht="14.25">
      <c r="A28" s="3563"/>
      <c r="B28" s="3567"/>
      <c r="C28" s="1122" t="s">
        <v>821</v>
      </c>
    </row>
    <row r="29" spans="1:3" ht="14.25">
      <c r="A29" s="3563"/>
      <c r="B29" s="3567"/>
      <c r="C29" s="1122" t="s">
        <v>822</v>
      </c>
    </row>
    <row r="30" spans="1:3" ht="14.25">
      <c r="A30" s="3563"/>
      <c r="B30" s="3567"/>
      <c r="C30" s="1122" t="s">
        <v>823</v>
      </c>
    </row>
    <row r="31" spans="1:3" ht="14.25">
      <c r="A31" s="3563"/>
      <c r="B31" s="3567"/>
      <c r="C31" s="1122" t="s">
        <v>824</v>
      </c>
    </row>
    <row r="32" spans="1:3" ht="14.25">
      <c r="A32" s="3563"/>
      <c r="B32" s="3567"/>
      <c r="C32" s="1122" t="s">
        <v>1446</v>
      </c>
    </row>
    <row r="33" spans="1:3" ht="14.25">
      <c r="A33" s="3563"/>
      <c r="B33" s="3557" t="s">
        <v>1452</v>
      </c>
      <c r="C33" s="1122" t="s">
        <v>1447</v>
      </c>
    </row>
    <row r="34" spans="1:3" ht="14.25">
      <c r="A34" s="3563"/>
      <c r="B34" s="3558"/>
      <c r="C34" s="1127" t="s">
        <v>1448</v>
      </c>
    </row>
    <row r="35" spans="1:3" ht="14.25">
      <c r="A35" s="3563"/>
      <c r="B35" s="3558"/>
      <c r="C35" s="1128" t="s">
        <v>1449</v>
      </c>
    </row>
    <row r="36" spans="1:3" ht="14.25">
      <c r="A36" s="3563"/>
      <c r="B36" s="3558"/>
      <c r="C36" s="1128" t="s">
        <v>1450</v>
      </c>
    </row>
    <row r="37" spans="1:3" ht="14.25">
      <c r="A37" s="3563"/>
      <c r="B37" s="3559"/>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44767</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2676</v>
      </c>
      <c r="B12" s="2938">
        <f ca="1">IF(C12&lt;B2,"已过期",1120040230)</f>
        <v>1120040230</v>
      </c>
      <c r="C12" s="2941">
        <v>44864</v>
      </c>
      <c r="D12" s="2949" t="s">
        <v>2677</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2689</v>
      </c>
      <c r="B15" s="2938">
        <f ca="1">IF(C15&lt;B2,"已过期",1119980106)</f>
        <v>1119980106</v>
      </c>
      <c r="C15" s="2941">
        <v>44969</v>
      </c>
      <c r="D15" s="2949"/>
      <c r="E15" s="2938"/>
      <c r="F15" s="2938"/>
      <c r="G15" s="2933"/>
    </row>
    <row r="16" spans="1:7" ht="20.25" customHeight="1">
      <c r="A16" s="2937" t="s">
        <v>2890</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571" t="s">
        <v>1720</v>
      </c>
      <c r="B18" s="3572"/>
      <c r="C18" s="3572"/>
      <c r="D18" s="3572"/>
      <c r="E18" s="3572"/>
      <c r="F18" s="3572"/>
      <c r="G18" s="2942"/>
    </row>
    <row r="19" spans="1:7" ht="20.25" customHeight="1">
      <c r="A19" s="3568" t="s">
        <v>1721</v>
      </c>
      <c r="B19" s="3568"/>
      <c r="C19" s="3569"/>
      <c r="D19" s="3570" t="s">
        <v>1722</v>
      </c>
      <c r="E19" s="3568"/>
      <c r="F19" s="3568"/>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2891</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1" sqref="AA31"/>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2262</v>
      </c>
      <c r="R1" s="2354" t="s">
        <v>2256</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2257</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2258</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2259</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2260</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2261</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2653</v>
      </c>
      <c r="C18" s="1448"/>
    </row>
    <row r="19" spans="1:3">
      <c r="A19" s="8" t="s">
        <v>120</v>
      </c>
      <c r="B19" s="2710" t="s">
        <v>2660</v>
      </c>
      <c r="C19" s="1448"/>
    </row>
    <row r="20" spans="1:3">
      <c r="A20" s="8" t="s">
        <v>121</v>
      </c>
      <c r="B20" s="2710" t="s">
        <v>2702</v>
      </c>
      <c r="C20" s="1448"/>
    </row>
    <row r="21" spans="1:3">
      <c r="A21" s="8" t="s">
        <v>122</v>
      </c>
      <c r="B21" s="8" t="s">
        <v>2882</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573"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c r="D53" s="1640"/>
      <c r="E53" s="1640"/>
    </row>
    <row r="54" spans="1:5">
      <c r="A54" s="3573"/>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73"/>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73"/>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73"/>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面积指标</vt:lpstr>
      <vt:lpstr>拆分价值</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不动产收益法-商业</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2022-07-25T05:08:19Z</dcterms:modified>
</cp:coreProperties>
</file>