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810" yWindow="-75" windowWidth="12120" windowHeight="9645" tabRatio="895" firstSheet="10" activeTab="13"/>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规证整理" sheetId="77"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土地比较法-住宅、综合" sheetId="39" r:id="rId22"/>
    <sheet name="基准地价修正" sheetId="43" state="hidden" r:id="rId23"/>
    <sheet name="地价" sheetId="71" state="hidden" r:id="rId24"/>
    <sheet name="假设开发法" sheetId="12" r:id="rId25"/>
    <sheet name="比较法-住宅" sheetId="21" r:id="rId26"/>
    <sheet name="收益法（地下仓储）" sheetId="15" r:id="rId27"/>
    <sheet name="收益法 (元)" sheetId="67" state="hidden" r:id="rId28"/>
    <sheet name="收益法（汇总）" sheetId="70" state="hidden" r:id="rId29"/>
    <sheet name="酒店收入计算" sheetId="66"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工业" sheetId="40" state="hidden" r:id="rId36"/>
    <sheet name="修正" sheetId="45" state="hidden" r:id="rId37"/>
    <sheet name="容积率修正" sheetId="46" state="hidden" r:id="rId38"/>
    <sheet name="基准地价（汇总）" sheetId="76"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收益法（地下车库）" sheetId="78" r:id="rId46"/>
    <sheet name="收益法叠拼车位" sheetId="82" r:id="rId47"/>
    <sheet name="收益法（商品房仓储）" sheetId="83" r:id="rId48"/>
    <sheet name="土地案例及位置" sheetId="79" r:id="rId49"/>
    <sheet name="住宅案例位置" sheetId="80" r:id="rId50"/>
    <sheet name="Sheet1" sheetId="81" r:id="rId51"/>
  </sheets>
  <externalReferences>
    <externalReference r:id="rId52"/>
    <externalReference r:id="rId53"/>
    <externalReference r:id="rId54"/>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5"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估价师及机构信息!$A$1:$F$29</definedName>
    <definedName name="_xlnm.Print_Area" localSheetId="27">'收益法 (元)'!$A$1:$AK$69</definedName>
    <definedName name="_xlnm.Print_Area" localSheetId="26">'收益法（地下仓储）'!$A$1:$AK$69</definedName>
    <definedName name="_xlnm.Print_Area" localSheetId="45">'收益法（地下车库）'!$A$1:$AK$69</definedName>
    <definedName name="_xlnm.Print_Area" localSheetId="47">'收益法（商品房仓储）'!$A$1:$AK$69</definedName>
    <definedName name="_xlnm.Print_Area" localSheetId="46">收益法叠拼车位!$A$1:$AK$69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N77" i="77" l="1"/>
  <c r="O77" i="77"/>
  <c r="J77" i="77"/>
  <c r="I77" i="77"/>
  <c r="H77" i="77"/>
  <c r="C15" i="74" l="1"/>
  <c r="B15" i="74"/>
  <c r="O78" i="77" l="1"/>
  <c r="M78" i="77" s="1"/>
  <c r="J78" i="77"/>
  <c r="L78" i="77"/>
  <c r="L79" i="77" s="1"/>
  <c r="K78" i="77"/>
  <c r="E78" i="77"/>
  <c r="E79" i="77" s="1"/>
  <c r="K79" i="77"/>
  <c r="G78" i="77"/>
  <c r="F78" i="77" l="1"/>
  <c r="O36" i="3" l="1"/>
  <c r="O35" i="3"/>
  <c r="K15" i="3"/>
  <c r="I15" i="3"/>
  <c r="K14" i="3"/>
  <c r="I14" i="3"/>
  <c r="K13" i="3"/>
  <c r="I13" i="3"/>
  <c r="Q72" i="83" l="1"/>
  <c r="Q59" i="83"/>
  <c r="K59" i="83"/>
  <c r="P74" i="83" s="1"/>
  <c r="F59" i="83"/>
  <c r="Q58" i="83"/>
  <c r="Q51" i="83"/>
  <c r="J50" i="83"/>
  <c r="J51" i="83" s="1"/>
  <c r="M47" i="83"/>
  <c r="D46" i="83"/>
  <c r="F34" i="83"/>
  <c r="F62" i="83" s="1"/>
  <c r="F33" i="83"/>
  <c r="F61" i="83" s="1"/>
  <c r="F32" i="83"/>
  <c r="F60" i="83" s="1"/>
  <c r="F31" i="83"/>
  <c r="F28" i="83"/>
  <c r="C28" i="83" s="1"/>
  <c r="F23" i="83"/>
  <c r="D23" i="83" s="1"/>
  <c r="F21" i="83"/>
  <c r="M20" i="83"/>
  <c r="F20" i="83"/>
  <c r="M19" i="83"/>
  <c r="M18" i="83"/>
  <c r="F18" i="83"/>
  <c r="M17" i="83"/>
  <c r="F17" i="83"/>
  <c r="F15" i="83"/>
  <c r="G1" i="83"/>
  <c r="D24" i="83" l="1"/>
  <c r="P61" i="83"/>
  <c r="D22" i="83"/>
  <c r="M22" i="83"/>
  <c r="F42" i="83"/>
  <c r="M9" i="83"/>
  <c r="M26" i="83"/>
  <c r="M27" i="83"/>
  <c r="L48" i="83"/>
  <c r="F26" i="83"/>
  <c r="F8" i="83"/>
  <c r="F37" i="83"/>
  <c r="F38" i="83"/>
  <c r="M6" i="83"/>
  <c r="L47" i="83"/>
  <c r="C76" i="83"/>
  <c r="F6" i="83"/>
  <c r="F9" i="83"/>
  <c r="F13" i="83"/>
  <c r="M28" i="83"/>
  <c r="F16" i="83"/>
  <c r="F36" i="83"/>
  <c r="M8" i="83"/>
  <c r="M23" i="83"/>
  <c r="F40" i="83"/>
  <c r="J15" i="83"/>
  <c r="M24" i="83"/>
  <c r="C27" i="83" l="1"/>
  <c r="F65" i="83"/>
  <c r="F51" i="83"/>
  <c r="F68" i="83"/>
  <c r="L57" i="83"/>
  <c r="L56" i="83"/>
  <c r="J57" i="83"/>
  <c r="J55" i="83" s="1"/>
  <c r="J58" i="83" s="1"/>
  <c r="Q50" i="83" s="1"/>
  <c r="J60" i="83"/>
  <c r="Q48" i="83" s="1"/>
  <c r="I54" i="83"/>
  <c r="L60" i="83"/>
  <c r="J59" i="83"/>
  <c r="F64" i="83"/>
  <c r="F66" i="83"/>
  <c r="N59" i="83"/>
  <c r="L58" i="83"/>
  <c r="Q71" i="83"/>
  <c r="Q72" i="82"/>
  <c r="Q59" i="82"/>
  <c r="K59" i="82"/>
  <c r="P74" i="82" s="1"/>
  <c r="F59" i="82"/>
  <c r="Q58" i="82"/>
  <c r="Q51" i="82"/>
  <c r="J50" i="82"/>
  <c r="J51" i="82" s="1"/>
  <c r="M47" i="82"/>
  <c r="D46" i="82"/>
  <c r="F34" i="82"/>
  <c r="F62" i="82" s="1"/>
  <c r="F33" i="82"/>
  <c r="F61" i="82" s="1"/>
  <c r="F32" i="82"/>
  <c r="F60" i="82" s="1"/>
  <c r="F31" i="82"/>
  <c r="F28" i="82"/>
  <c r="C28" i="82" s="1"/>
  <c r="F23" i="82"/>
  <c r="D23" i="82" s="1"/>
  <c r="F21" i="82"/>
  <c r="M20" i="82"/>
  <c r="F20" i="82"/>
  <c r="M19" i="82"/>
  <c r="M18" i="82"/>
  <c r="F18" i="82"/>
  <c r="M17" i="82"/>
  <c r="F17" i="82"/>
  <c r="F15" i="82"/>
  <c r="G1" i="82"/>
  <c r="E11" i="81"/>
  <c r="C10" i="81"/>
  <c r="C9" i="81"/>
  <c r="C8" i="81"/>
  <c r="C7" i="81"/>
  <c r="C6" i="81" s="1"/>
  <c r="E6" i="81"/>
  <c r="F1" i="81"/>
  <c r="Q60" i="83" l="1"/>
  <c r="Q73" i="83"/>
  <c r="Q66" i="83"/>
  <c r="Q57" i="83"/>
  <c r="L46" i="83"/>
  <c r="D24" i="82"/>
  <c r="P61" i="82"/>
  <c r="D22" i="82"/>
  <c r="C76" i="82"/>
  <c r="M26" i="82"/>
  <c r="M24" i="82"/>
  <c r="M28" i="82"/>
  <c r="M27" i="82"/>
  <c r="F8" i="82"/>
  <c r="F6" i="82"/>
  <c r="M22" i="82"/>
  <c r="F37" i="82"/>
  <c r="M9" i="82"/>
  <c r="L47" i="82"/>
  <c r="F42" i="82"/>
  <c r="M8" i="82"/>
  <c r="J15" i="82"/>
  <c r="F36" i="82"/>
  <c r="L48" i="82"/>
  <c r="F38" i="82"/>
  <c r="F40" i="82"/>
  <c r="F13" i="82"/>
  <c r="M23" i="82"/>
  <c r="F26" i="82"/>
  <c r="M6" i="82"/>
  <c r="F9" i="82"/>
  <c r="F16" i="82"/>
  <c r="F64" i="82" l="1"/>
  <c r="F66" i="82"/>
  <c r="F51" i="82"/>
  <c r="F68" i="82"/>
  <c r="L57" i="82"/>
  <c r="L56" i="82"/>
  <c r="J57" i="82"/>
  <c r="J55" i="82" s="1"/>
  <c r="J58" i="82" s="1"/>
  <c r="Q50" i="82" s="1"/>
  <c r="I54" i="82"/>
  <c r="L60" i="82"/>
  <c r="C27" i="82"/>
  <c r="F65" i="82"/>
  <c r="N59" i="82"/>
  <c r="L58" i="82"/>
  <c r="Q71" i="82"/>
  <c r="H11" i="81"/>
  <c r="H6" i="81"/>
  <c r="Q60" i="82" l="1"/>
  <c r="Q73" i="82"/>
  <c r="Q66" i="82"/>
  <c r="Q57" i="82"/>
  <c r="G78" i="43" l="1"/>
  <c r="G77" i="43"/>
  <c r="G76" i="43"/>
  <c r="G75" i="43"/>
  <c r="G74" i="43"/>
  <c r="G73" i="43"/>
  <c r="G72" i="43"/>
  <c r="G71" i="43"/>
  <c r="G70" i="43"/>
  <c r="Q72" i="78"/>
  <c r="Q59" i="78"/>
  <c r="K59" i="78"/>
  <c r="P74" i="78" s="1"/>
  <c r="F59" i="78"/>
  <c r="Q58" i="78"/>
  <c r="Q51" i="78"/>
  <c r="J50" i="78"/>
  <c r="M47" i="78"/>
  <c r="D46" i="78"/>
  <c r="F34" i="78"/>
  <c r="F62" i="78" s="1"/>
  <c r="F33" i="78"/>
  <c r="F61" i="78" s="1"/>
  <c r="F32" i="78"/>
  <c r="F60" i="78" s="1"/>
  <c r="F31" i="78"/>
  <c r="F28" i="78"/>
  <c r="C28" i="78" s="1"/>
  <c r="F23" i="78"/>
  <c r="D23" i="78" s="1"/>
  <c r="F21" i="78"/>
  <c r="M20" i="78"/>
  <c r="F20" i="78"/>
  <c r="M19" i="78"/>
  <c r="M18" i="78"/>
  <c r="F18" i="78"/>
  <c r="M17" i="78"/>
  <c r="F17" i="78"/>
  <c r="F15" i="78"/>
  <c r="G1" i="78"/>
  <c r="D24" i="78" l="1"/>
  <c r="P61" i="78"/>
  <c r="D22" i="78"/>
  <c r="J51" i="78"/>
  <c r="F6" i="78"/>
  <c r="F26" i="78"/>
  <c r="M22" i="78"/>
  <c r="F9" i="78"/>
  <c r="F16" i="78"/>
  <c r="M6" i="78"/>
  <c r="M26" i="78"/>
  <c r="M23" i="78"/>
  <c r="F38" i="78"/>
  <c r="J15" i="78"/>
  <c r="M9" i="78"/>
  <c r="F8" i="78"/>
  <c r="F36" i="78"/>
  <c r="M24" i="78"/>
  <c r="F37" i="78"/>
  <c r="M27" i="78"/>
  <c r="M28" i="78"/>
  <c r="F13" i="78"/>
  <c r="C76" i="78"/>
  <c r="M8" i="78"/>
  <c r="F40" i="78"/>
  <c r="F42" i="78"/>
  <c r="C27" i="78" l="1"/>
  <c r="F65" i="78"/>
  <c r="F51" i="78"/>
  <c r="F68" i="78"/>
  <c r="F64" i="78"/>
  <c r="F66" i="78"/>
  <c r="Q71" i="78"/>
  <c r="F20" i="6" l="1"/>
  <c r="AL38" i="3"/>
  <c r="AN37" i="3"/>
  <c r="AL37" i="3"/>
  <c r="AT39" i="3"/>
  <c r="M39" i="3"/>
  <c r="AT40" i="3"/>
  <c r="C39" i="3"/>
  <c r="C38" i="3"/>
  <c r="C37" i="3"/>
  <c r="M36" i="3"/>
  <c r="AF36" i="3"/>
  <c r="AT35" i="3"/>
  <c r="K36" i="3"/>
  <c r="K35" i="3"/>
  <c r="AN36" i="3"/>
  <c r="AN35" i="3"/>
  <c r="AD36" i="3"/>
  <c r="AD35" i="3"/>
  <c r="C36" i="3"/>
  <c r="C35" i="3"/>
  <c r="B35" i="3"/>
  <c r="M34" i="3"/>
  <c r="C34" i="3"/>
  <c r="AN24" i="3"/>
  <c r="AN25" i="3"/>
  <c r="AN26" i="3"/>
  <c r="AN27" i="3"/>
  <c r="AN28" i="3"/>
  <c r="AN29" i="3"/>
  <c r="AN30" i="3"/>
  <c r="AN31" i="3"/>
  <c r="AN32" i="3"/>
  <c r="AN33" i="3"/>
  <c r="AN23" i="3"/>
  <c r="K24" i="3"/>
  <c r="K25" i="3"/>
  <c r="K26" i="3"/>
  <c r="K27" i="3"/>
  <c r="K28" i="3"/>
  <c r="K29" i="3"/>
  <c r="K30" i="3"/>
  <c r="K31" i="3"/>
  <c r="K32" i="3"/>
  <c r="K33" i="3"/>
  <c r="K23" i="3"/>
  <c r="I24" i="3"/>
  <c r="I25" i="3"/>
  <c r="I26" i="3"/>
  <c r="I27" i="3"/>
  <c r="I28" i="3"/>
  <c r="I29" i="3"/>
  <c r="I30" i="3"/>
  <c r="I31" i="3"/>
  <c r="I32" i="3"/>
  <c r="I33" i="3"/>
  <c r="I23" i="3"/>
  <c r="C33" i="3"/>
  <c r="C24" i="3"/>
  <c r="C25" i="3"/>
  <c r="C26" i="3"/>
  <c r="C27" i="3"/>
  <c r="C28" i="3"/>
  <c r="C29" i="3"/>
  <c r="C30" i="3"/>
  <c r="C31" i="3"/>
  <c r="C32" i="3"/>
  <c r="C23" i="3"/>
  <c r="B23" i="3"/>
  <c r="AT22" i="3"/>
  <c r="M22" i="3"/>
  <c r="C22" i="3"/>
  <c r="AN18" i="3"/>
  <c r="AN19" i="3"/>
  <c r="AN20" i="3"/>
  <c r="AN21" i="3"/>
  <c r="AN17" i="3"/>
  <c r="AN14" i="3"/>
  <c r="AN15" i="3"/>
  <c r="AN13" i="3"/>
  <c r="K18" i="3"/>
  <c r="K19" i="3"/>
  <c r="K20" i="3"/>
  <c r="K21" i="3"/>
  <c r="K17" i="3"/>
  <c r="I79" i="77" s="1"/>
  <c r="I18" i="3"/>
  <c r="I19" i="3"/>
  <c r="I20" i="3"/>
  <c r="I21" i="3"/>
  <c r="I17" i="3"/>
  <c r="C18" i="3"/>
  <c r="C19" i="3"/>
  <c r="C20" i="3"/>
  <c r="C21" i="3"/>
  <c r="C17" i="3"/>
  <c r="B17" i="3"/>
  <c r="AT16" i="3"/>
  <c r="M16" i="3"/>
  <c r="C16" i="3"/>
  <c r="A13" i="3"/>
  <c r="C15" i="3"/>
  <c r="C14" i="3"/>
  <c r="C13" i="3"/>
  <c r="N79" i="77" l="1"/>
  <c r="G23" i="6"/>
  <c r="J79" i="77"/>
  <c r="F19" i="6"/>
  <c r="E3" i="81" s="1"/>
  <c r="O24" i="1"/>
  <c r="G24" i="6"/>
  <c r="G21" i="6"/>
  <c r="D38" i="43" s="1"/>
  <c r="G22" i="6"/>
  <c r="D39" i="43" s="1"/>
  <c r="K10" i="77"/>
  <c r="K11" i="77" s="1"/>
  <c r="J10" i="77"/>
  <c r="J11" i="77" s="1"/>
  <c r="E10" i="77"/>
  <c r="C10" i="77"/>
  <c r="I8" i="77"/>
  <c r="I11" i="77" s="1"/>
  <c r="H8" i="77"/>
  <c r="H11" i="77" s="1"/>
  <c r="G8" i="77"/>
  <c r="G11" i="77" s="1"/>
  <c r="E8" i="77"/>
  <c r="E11" i="77" s="1"/>
  <c r="D8" i="77"/>
  <c r="C8" i="77"/>
  <c r="C11" i="77" s="1"/>
  <c r="C22" i="77"/>
  <c r="D22" i="77"/>
  <c r="D25" i="77" s="1"/>
  <c r="E22" i="77"/>
  <c r="G22" i="77"/>
  <c r="H22" i="77"/>
  <c r="I22" i="77"/>
  <c r="I25" i="77" s="1"/>
  <c r="H25" i="77"/>
  <c r="G25" i="77"/>
  <c r="E62" i="77"/>
  <c r="C62" i="77"/>
  <c r="D61" i="77"/>
  <c r="D60" i="77"/>
  <c r="D59" i="77"/>
  <c r="D58" i="77"/>
  <c r="J56" i="77"/>
  <c r="AN39" i="3" s="1"/>
  <c r="N53" i="77"/>
  <c r="M53" i="77"/>
  <c r="L53" i="77"/>
  <c r="K53" i="77"/>
  <c r="J53" i="77"/>
  <c r="I53" i="77"/>
  <c r="H53" i="77"/>
  <c r="G53" i="77"/>
  <c r="E53" i="77"/>
  <c r="E63" i="77" s="1"/>
  <c r="D53" i="77"/>
  <c r="C53" i="77"/>
  <c r="C63" i="77" s="1"/>
  <c r="J44" i="77"/>
  <c r="J45" i="77" s="1"/>
  <c r="E44" i="77"/>
  <c r="C44" i="77"/>
  <c r="I42" i="77"/>
  <c r="I45" i="77" s="1"/>
  <c r="H42" i="77"/>
  <c r="H45" i="77" s="1"/>
  <c r="G42" i="77"/>
  <c r="G45" i="77" s="1"/>
  <c r="E42" i="77"/>
  <c r="D42" i="77"/>
  <c r="D45" i="77" s="1"/>
  <c r="C42" i="77"/>
  <c r="C45" i="77" s="1"/>
  <c r="O21" i="1" s="1"/>
  <c r="K24" i="77"/>
  <c r="J24" i="77"/>
  <c r="E24" i="77"/>
  <c r="E25" i="77" s="1"/>
  <c r="C24" i="77"/>
  <c r="C25" i="77" s="1"/>
  <c r="E45" i="77" l="1"/>
  <c r="D11" i="77"/>
  <c r="O3" i="77"/>
  <c r="O20" i="1"/>
  <c r="O25" i="1"/>
  <c r="O26" i="1" s="1"/>
  <c r="N26" i="1" s="1"/>
  <c r="N14" i="1" s="1"/>
  <c r="M77" i="77"/>
  <c r="M79" i="77" s="1"/>
  <c r="O79" i="77"/>
  <c r="D62" i="77"/>
  <c r="D63" i="77" s="1"/>
  <c r="K25" i="77"/>
  <c r="J25" i="77"/>
  <c r="E4" i="81" s="1"/>
  <c r="D13" i="81" l="1"/>
  <c r="E1" i="81"/>
  <c r="D11" i="81" s="1"/>
  <c r="O22" i="1"/>
  <c r="N22" i="1" s="1"/>
  <c r="N6" i="1" s="1"/>
  <c r="O4" i="77"/>
  <c r="L3" i="71"/>
  <c r="K3" i="71"/>
  <c r="I3" i="71"/>
  <c r="D7" i="81" l="1"/>
  <c r="D8" i="81"/>
  <c r="F8" i="81" s="1"/>
  <c r="D10" i="81"/>
  <c r="F10" i="81" s="1"/>
  <c r="D9" i="81"/>
  <c r="F9" i="81" s="1"/>
  <c r="J3" i="71"/>
  <c r="F7" i="81" l="1"/>
  <c r="D6" i="81"/>
  <c r="G4" i="81" s="1"/>
  <c r="D4" i="81"/>
  <c r="AD5" i="71"/>
  <c r="AG5" i="71"/>
  <c r="AH5" i="71"/>
  <c r="AE5" i="71"/>
  <c r="AF5" i="71" s="1"/>
  <c r="N5" i="71"/>
  <c r="Q5" i="71"/>
  <c r="P5" i="71"/>
  <c r="O5" i="71"/>
  <c r="C4" i="81" l="1"/>
  <c r="I8" i="81"/>
  <c r="D3" i="81"/>
  <c r="C3" i="81" s="1"/>
  <c r="H4" i="81"/>
  <c r="G3" i="81"/>
  <c r="H3" i="81" s="1"/>
  <c r="F11" i="81"/>
  <c r="F6" i="81"/>
  <c r="Q6" i="7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A15" i="51" l="1"/>
  <c r="E7" i="76"/>
  <c r="B11" i="76"/>
  <c r="B7" i="76"/>
  <c r="B9" i="76"/>
  <c r="E9" i="76"/>
  <c r="E10" i="76"/>
  <c r="E13" i="76"/>
  <c r="B13" i="76"/>
  <c r="E12" i="76"/>
  <c r="B8" i="76"/>
  <c r="E8" i="76"/>
  <c r="B12" i="76"/>
  <c r="B10" i="76"/>
  <c r="E11" i="76"/>
  <c r="C76" i="9" l="1"/>
  <c r="I107" i="40" l="1"/>
  <c r="K6" i="4" l="1"/>
  <c r="B22" i="31" l="1"/>
  <c r="N56" i="9" l="1"/>
  <c r="M56" i="9"/>
  <c r="K56" i="9"/>
  <c r="E16" i="74" l="1"/>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c r="AG21" i="71"/>
  <c r="AH21" i="71"/>
  <c r="S2" i="31" l="1"/>
  <c r="M2" i="31"/>
  <c r="N2" i="31"/>
  <c r="O2" i="31"/>
  <c r="P2" i="31"/>
  <c r="Q2" i="31"/>
  <c r="R2" i="31"/>
  <c r="C1" i="73" l="1"/>
  <c r="L1" i="73" s="1"/>
  <c r="F7" i="73"/>
  <c r="J1" i="73" l="1"/>
  <c r="B74" i="72"/>
  <c r="F4" i="73"/>
  <c r="D5" i="73"/>
  <c r="D3" i="73"/>
  <c r="D6" i="73"/>
  <c r="F6" i="73"/>
  <c r="F5" i="73"/>
  <c r="F3" i="73"/>
  <c r="I1" i="73" l="1"/>
  <c r="B39" i="1" s="1"/>
  <c r="D4" i="73"/>
  <c r="D7" i="73"/>
  <c r="F11" i="83" l="1"/>
  <c r="M11" i="83"/>
  <c r="F11" i="82"/>
  <c r="M11" i="82"/>
  <c r="F11" i="78"/>
  <c r="M11" i="78"/>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83" l="1"/>
  <c r="C10" i="83"/>
  <c r="C53" i="82"/>
  <c r="C10" i="82"/>
  <c r="C53" i="78"/>
  <c r="C10" i="78"/>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Q18" i="71"/>
  <c r="F19" i="71" s="1"/>
  <c r="F20" i="71" s="1"/>
  <c r="F21" i="71" s="1"/>
  <c r="V21" i="71" s="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Y5" i="71" s="1"/>
  <c r="Z5" i="71" s="1"/>
  <c r="N9" i="71"/>
  <c r="X5" i="71" l="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D15" i="71"/>
  <c r="C20"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A9" i="70"/>
  <c r="A10" i="70"/>
  <c r="A11" i="70"/>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Z18" i="35"/>
  <c r="Q18" i="35"/>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B86" i="43" s="1"/>
  <c r="C22" i="20"/>
  <c r="AO12" i="1"/>
  <c r="AO13" i="1"/>
  <c r="B13" i="70" l="1"/>
  <c r="B12"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s="1"/>
  <c r="K78" i="43"/>
  <c r="J78" i="43" s="1"/>
  <c r="D78" i="43" s="1"/>
  <c r="M77" i="43"/>
  <c r="N77" i="43" s="1"/>
  <c r="K77" i="43"/>
  <c r="J77" i="43" s="1"/>
  <c r="D77" i="43" s="1"/>
  <c r="M76" i="43"/>
  <c r="N76" i="43" s="1"/>
  <c r="K76" i="43"/>
  <c r="J76" i="43" s="1"/>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10" i="1"/>
  <c r="F11" i="1"/>
  <c r="F12" i="1"/>
  <c r="F13" i="1"/>
  <c r="D6" i="1"/>
  <c r="D9" i="1"/>
  <c r="D10" i="1"/>
  <c r="D11" i="1"/>
  <c r="D12" i="1"/>
  <c r="D13" i="1"/>
  <c r="G13" i="1" s="1"/>
  <c r="D7" i="1"/>
  <c r="D8" i="1"/>
  <c r="A7" i="1"/>
  <c r="B7" i="1" s="1"/>
  <c r="E7" i="1" s="1"/>
  <c r="A8" i="1"/>
  <c r="B8" i="1" s="1"/>
  <c r="E8" i="1" s="1"/>
  <c r="A9" i="1"/>
  <c r="A10" i="1"/>
  <c r="A11" i="1"/>
  <c r="A12" i="1"/>
  <c r="A13" i="1"/>
  <c r="B13" i="1" s="1"/>
  <c r="E13" i="1" s="1"/>
  <c r="A6" i="1"/>
  <c r="B11" i="1"/>
  <c r="E11"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A39" i="3" s="1"/>
  <c r="BC39" i="3"/>
  <c r="BB39" i="3"/>
  <c r="AX39" i="3"/>
  <c r="AW39" i="3"/>
  <c r="AV39" i="3"/>
  <c r="AC39" i="3"/>
  <c r="H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L29" i="3"/>
  <c r="BK29" i="3"/>
  <c r="BJ29" i="3"/>
  <c r="BI29" i="3"/>
  <c r="BH29" i="3"/>
  <c r="BG29" i="3"/>
  <c r="BF29" i="3"/>
  <c r="BE29" i="3"/>
  <c r="BD29" i="3"/>
  <c r="BC29" i="3"/>
  <c r="BB29" i="3"/>
  <c r="AX29" i="3"/>
  <c r="AW29" i="3"/>
  <c r="AV29" i="3"/>
  <c r="AC29" i="3"/>
  <c r="H29" i="3"/>
  <c r="BT28" i="3"/>
  <c r="BS28" i="3"/>
  <c r="BR28" i="3"/>
  <c r="BQ28" i="3"/>
  <c r="BP28" i="3"/>
  <c r="BO28" i="3"/>
  <c r="BN28" i="3"/>
  <c r="BM28" i="3"/>
  <c r="BL28" i="3"/>
  <c r="BK28" i="3"/>
  <c r="BJ28" i="3"/>
  <c r="BI28" i="3"/>
  <c r="BH28" i="3"/>
  <c r="BG28" i="3"/>
  <c r="BF28" i="3"/>
  <c r="BE28" i="3"/>
  <c r="BD28" i="3"/>
  <c r="BC28" i="3"/>
  <c r="BB28" i="3"/>
  <c r="AX28" i="3"/>
  <c r="AW28" i="3"/>
  <c r="AV28" i="3"/>
  <c r="AC28" i="3"/>
  <c r="H28" i="3"/>
  <c r="BT27" i="3"/>
  <c r="BS27" i="3"/>
  <c r="BR27" i="3"/>
  <c r="BQ27" i="3"/>
  <c r="BP27" i="3"/>
  <c r="BO27" i="3"/>
  <c r="BN27" i="3"/>
  <c r="BM27" i="3"/>
  <c r="BL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BA26" i="3" s="1"/>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1" i="1"/>
  <c r="I15" i="4"/>
  <c r="H15" i="4"/>
  <c r="F8" i="1" s="1"/>
  <c r="G8" i="1" s="1"/>
  <c r="G15" i="4"/>
  <c r="F9" i="1" s="1"/>
  <c r="G9" i="1" s="1"/>
  <c r="E15" i="4"/>
  <c r="D15" i="4"/>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B22"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F23" i="15"/>
  <c r="D24" i="15" s="1"/>
  <c r="M13" i="1"/>
  <c r="O13" i="1" s="1"/>
  <c r="P13" i="1" s="1"/>
  <c r="E22" i="6"/>
  <c r="E23" i="6"/>
  <c r="K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G493" i="3" s="1"/>
  <c r="AC493" i="3"/>
  <c r="BB493" i="3"/>
  <c r="BB5" i="3" s="1"/>
  <c r="BC493" i="3"/>
  <c r="BD493" i="3"/>
  <c r="BD5" i="3" s="1"/>
  <c r="BE493" i="3"/>
  <c r="BF493" i="3"/>
  <c r="BG493" i="3"/>
  <c r="BH493" i="3"/>
  <c r="BH5" i="3" s="1"/>
  <c r="BI493" i="3"/>
  <c r="BJ493" i="3"/>
  <c r="BK493" i="3"/>
  <c r="BM493" i="3"/>
  <c r="BM5" i="3" s="1"/>
  <c r="BN493" i="3"/>
  <c r="BO493" i="3"/>
  <c r="BP493" i="3"/>
  <c r="BR493" i="3"/>
  <c r="BS493" i="3"/>
  <c r="BT493" i="3"/>
  <c r="BT5" i="3" s="1"/>
  <c r="H494" i="3"/>
  <c r="AC494" i="3"/>
  <c r="BB494" i="3"/>
  <c r="BC494" i="3"/>
  <c r="BD494" i="3"/>
  <c r="BE494" i="3"/>
  <c r="BE5" i="3" s="1"/>
  <c r="BF494" i="3"/>
  <c r="BG494" i="3"/>
  <c r="BH494" i="3"/>
  <c r="BI494" i="3"/>
  <c r="BI5" i="3" s="1"/>
  <c r="BJ494" i="3"/>
  <c r="BK494" i="3"/>
  <c r="BM494" i="3"/>
  <c r="BN494" i="3"/>
  <c r="BL494" i="3" s="1"/>
  <c r="BO494" i="3"/>
  <c r="BP494" i="3"/>
  <c r="BP5" i="3" s="1"/>
  <c r="BQ494" i="3"/>
  <c r="BR494" i="3"/>
  <c r="BS494" i="3"/>
  <c r="BT494" i="3"/>
  <c r="H495" i="3"/>
  <c r="AC495" i="3"/>
  <c r="BB495" i="3"/>
  <c r="BC495" i="3"/>
  <c r="BA495" i="3" s="1"/>
  <c r="BD495" i="3"/>
  <c r="BE495" i="3"/>
  <c r="BF495" i="3"/>
  <c r="BG495" i="3"/>
  <c r="BH495" i="3"/>
  <c r="BI495" i="3"/>
  <c r="BJ495" i="3"/>
  <c r="BK495" i="3"/>
  <c r="BM495" i="3"/>
  <c r="BN495" i="3"/>
  <c r="BO495" i="3"/>
  <c r="BP495" i="3"/>
  <c r="BR495" i="3"/>
  <c r="BS495" i="3"/>
  <c r="BT495" i="3"/>
  <c r="H496" i="3"/>
  <c r="AC496" i="3"/>
  <c r="BB496" i="3"/>
  <c r="BA496" i="3" s="1"/>
  <c r="BC496" i="3"/>
  <c r="BD496" i="3"/>
  <c r="BE496" i="3"/>
  <c r="BF496" i="3"/>
  <c r="BG496" i="3"/>
  <c r="BH496" i="3"/>
  <c r="BI496" i="3"/>
  <c r="BJ496" i="3"/>
  <c r="BK496" i="3"/>
  <c r="BM496" i="3"/>
  <c r="BN496" i="3"/>
  <c r="BO496" i="3"/>
  <c r="BP496" i="3"/>
  <c r="BQ496" i="3"/>
  <c r="BQ5" i="3" s="1"/>
  <c r="BR496" i="3"/>
  <c r="BS496" i="3"/>
  <c r="BT496" i="3"/>
  <c r="H497" i="3"/>
  <c r="G497" i="3" s="1"/>
  <c r="AC497" i="3"/>
  <c r="BB497" i="3"/>
  <c r="BC497" i="3"/>
  <c r="BD497" i="3"/>
  <c r="BE497" i="3"/>
  <c r="BF497" i="3"/>
  <c r="BG497" i="3"/>
  <c r="BH497" i="3"/>
  <c r="BI497" i="3"/>
  <c r="BJ497" i="3"/>
  <c r="BK497" i="3"/>
  <c r="BM497" i="3"/>
  <c r="BN497" i="3"/>
  <c r="BO497" i="3"/>
  <c r="BP497" i="3"/>
  <c r="BR497" i="3"/>
  <c r="BS497" i="3"/>
  <c r="BT497" i="3"/>
  <c r="H498" i="3"/>
  <c r="AC498" i="3"/>
  <c r="G498" i="3" s="1"/>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I500" i="3"/>
  <c r="BJ500" i="3"/>
  <c r="BK500" i="3"/>
  <c r="BM500" i="3"/>
  <c r="BN500" i="3"/>
  <c r="BO500" i="3"/>
  <c r="BP500" i="3"/>
  <c r="BQ500" i="3"/>
  <c r="BR500" i="3"/>
  <c r="BS500" i="3"/>
  <c r="BT500" i="3"/>
  <c r="H501" i="3"/>
  <c r="G501" i="3" s="1"/>
  <c r="AC501" i="3"/>
  <c r="BB501" i="3"/>
  <c r="BC501" i="3"/>
  <c r="BD501" i="3"/>
  <c r="BE501" i="3"/>
  <c r="BF501" i="3"/>
  <c r="BG501" i="3"/>
  <c r="BH501" i="3"/>
  <c r="BI501" i="3"/>
  <c r="BJ501" i="3"/>
  <c r="BK501" i="3"/>
  <c r="BM501" i="3"/>
  <c r="BN501" i="3"/>
  <c r="BO501" i="3"/>
  <c r="BP501" i="3"/>
  <c r="BR501" i="3"/>
  <c r="BS501" i="3"/>
  <c r="BT501" i="3"/>
  <c r="H502" i="3"/>
  <c r="AC502" i="3"/>
  <c r="G502" i="3" s="1"/>
  <c r="BB502" i="3"/>
  <c r="BC502" i="3"/>
  <c r="BA502" i="3" s="1"/>
  <c r="AZ502" i="3" s="1"/>
  <c r="BD502" i="3"/>
  <c r="BE502" i="3"/>
  <c r="BF502" i="3"/>
  <c r="BG502" i="3"/>
  <c r="BH502" i="3"/>
  <c r="BI502" i="3"/>
  <c r="BJ502" i="3"/>
  <c r="BK502" i="3"/>
  <c r="BM502" i="3"/>
  <c r="BN502" i="3"/>
  <c r="BO502" i="3"/>
  <c r="BP502" i="3"/>
  <c r="BQ502" i="3"/>
  <c r="BR502" i="3"/>
  <c r="BS502" i="3"/>
  <c r="BT502" i="3"/>
  <c r="H503" i="3"/>
  <c r="AC503" i="3"/>
  <c r="BB503" i="3"/>
  <c r="BC503" i="3"/>
  <c r="BA503" i="3" s="1"/>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G505" i="3" s="1"/>
  <c r="AC505" i="3"/>
  <c r="BB505" i="3"/>
  <c r="BC505" i="3"/>
  <c r="BD505" i="3"/>
  <c r="BE505" i="3"/>
  <c r="BF505" i="3"/>
  <c r="BG505" i="3"/>
  <c r="BH505" i="3"/>
  <c r="BI505" i="3"/>
  <c r="BJ505" i="3"/>
  <c r="BK505" i="3"/>
  <c r="BM505" i="3"/>
  <c r="BL505" i="3" s="1"/>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G508" i="3" s="1"/>
  <c r="AC508" i="3"/>
  <c r="BB508" i="3"/>
  <c r="BA508" i="3" s="1"/>
  <c r="AZ508" i="3" s="1"/>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L509" i="3" s="1"/>
  <c r="AZ509" i="3" s="1"/>
  <c r="BO509" i="3"/>
  <c r="BP509" i="3"/>
  <c r="BR509" i="3"/>
  <c r="BS509" i="3"/>
  <c r="BT509" i="3"/>
  <c r="H510" i="3"/>
  <c r="AC510" i="3"/>
  <c r="BB510" i="3"/>
  <c r="BC510" i="3"/>
  <c r="BD510" i="3"/>
  <c r="BE510" i="3"/>
  <c r="BF510" i="3"/>
  <c r="BG510" i="3"/>
  <c r="BH510" i="3"/>
  <c r="BI510" i="3"/>
  <c r="BJ510" i="3"/>
  <c r="BK510" i="3"/>
  <c r="BM510" i="3"/>
  <c r="BL510" i="3" s="1"/>
  <c r="BN510" i="3"/>
  <c r="BO510" i="3"/>
  <c r="BP510" i="3"/>
  <c r="BQ510" i="3"/>
  <c r="BR510" i="3"/>
  <c r="BS510" i="3"/>
  <c r="BT510" i="3"/>
  <c r="H511" i="3"/>
  <c r="G511" i="3" s="1"/>
  <c r="AC511" i="3"/>
  <c r="BB511" i="3"/>
  <c r="BC511" i="3"/>
  <c r="BD511" i="3"/>
  <c r="BE511" i="3"/>
  <c r="BF511" i="3"/>
  <c r="BG511" i="3"/>
  <c r="BH511" i="3"/>
  <c r="BI511" i="3"/>
  <c r="BJ511" i="3"/>
  <c r="BK511" i="3"/>
  <c r="BM511" i="3"/>
  <c r="BL511" i="3" s="1"/>
  <c r="BN511" i="3"/>
  <c r="BO511" i="3"/>
  <c r="BP511" i="3"/>
  <c r="BR511" i="3"/>
  <c r="BS511" i="3"/>
  <c r="BT511" i="3"/>
  <c r="H512" i="3"/>
  <c r="AC512" i="3"/>
  <c r="G512" i="3" s="1"/>
  <c r="BB512" i="3"/>
  <c r="BC512" i="3"/>
  <c r="BA512" i="3" s="1"/>
  <c r="BD512" i="3"/>
  <c r="BE512" i="3"/>
  <c r="BF512" i="3"/>
  <c r="BG512" i="3"/>
  <c r="BH512" i="3"/>
  <c r="BI512" i="3"/>
  <c r="BJ512" i="3"/>
  <c r="BK512" i="3"/>
  <c r="BM512" i="3"/>
  <c r="BN512" i="3"/>
  <c r="BL512" i="3" s="1"/>
  <c r="BO512" i="3"/>
  <c r="BP512" i="3"/>
  <c r="BQ512" i="3"/>
  <c r="BR512" i="3"/>
  <c r="BS512" i="3"/>
  <c r="BT512" i="3"/>
  <c r="H513" i="3"/>
  <c r="AC513" i="3"/>
  <c r="BB513" i="3"/>
  <c r="BC513" i="3"/>
  <c r="BA513" i="3" s="1"/>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G518" i="3" s="1"/>
  <c r="AC518" i="3"/>
  <c r="BB518" i="3"/>
  <c r="BC518" i="3"/>
  <c r="BD518" i="3"/>
  <c r="BE518" i="3"/>
  <c r="BF518" i="3"/>
  <c r="BG518" i="3"/>
  <c r="BH518" i="3"/>
  <c r="BI518" i="3"/>
  <c r="BJ518" i="3"/>
  <c r="BK518" i="3"/>
  <c r="BM518" i="3"/>
  <c r="BN518" i="3"/>
  <c r="BO518" i="3"/>
  <c r="BP518" i="3"/>
  <c r="BQ518" i="3"/>
  <c r="BR518" i="3"/>
  <c r="BS518" i="3"/>
  <c r="BT518" i="3"/>
  <c r="H519" i="3"/>
  <c r="G519" i="3" s="1"/>
  <c r="AC519" i="3"/>
  <c r="BB519" i="3"/>
  <c r="BC519" i="3"/>
  <c r="BD519" i="3"/>
  <c r="BE519" i="3"/>
  <c r="BF519" i="3"/>
  <c r="BG519" i="3"/>
  <c r="BH519" i="3"/>
  <c r="BI519" i="3"/>
  <c r="BJ519" i="3"/>
  <c r="BK519" i="3"/>
  <c r="BM519" i="3"/>
  <c r="BL519" i="3" s="1"/>
  <c r="BN519" i="3"/>
  <c r="BO519" i="3"/>
  <c r="BP519" i="3"/>
  <c r="BR519" i="3"/>
  <c r="BS519" i="3"/>
  <c r="BT519" i="3"/>
  <c r="H520" i="3"/>
  <c r="AC520" i="3"/>
  <c r="BB520" i="3"/>
  <c r="BC520" i="3"/>
  <c r="BA520" i="3" s="1"/>
  <c r="BD520" i="3"/>
  <c r="BE520" i="3"/>
  <c r="BF520" i="3"/>
  <c r="BG520" i="3"/>
  <c r="BH520" i="3"/>
  <c r="BI520" i="3"/>
  <c r="BJ520" i="3"/>
  <c r="BK520" i="3"/>
  <c r="BM520" i="3"/>
  <c r="BN520" i="3"/>
  <c r="BO520" i="3"/>
  <c r="BP520" i="3"/>
  <c r="BQ520" i="3"/>
  <c r="BR520" i="3"/>
  <c r="BS520" i="3"/>
  <c r="BT520" i="3"/>
  <c r="H521" i="3"/>
  <c r="BB521" i="3"/>
  <c r="BA521" i="3" s="1"/>
  <c r="BC521" i="3"/>
  <c r="BD521" i="3"/>
  <c r="BE521" i="3"/>
  <c r="BF521" i="3"/>
  <c r="BG521" i="3"/>
  <c r="BH521" i="3"/>
  <c r="BI521" i="3"/>
  <c r="BJ521" i="3"/>
  <c r="BK521" i="3"/>
  <c r="BM521" i="3"/>
  <c r="BL521" i="3" s="1"/>
  <c r="BN521" i="3"/>
  <c r="BO521" i="3"/>
  <c r="BP521" i="3"/>
  <c r="BR521" i="3"/>
  <c r="BS521" i="3"/>
  <c r="BT521" i="3"/>
  <c r="H522" i="3"/>
  <c r="AC522" i="3"/>
  <c r="G522" i="3" s="1"/>
  <c r="BB522" i="3"/>
  <c r="BC522" i="3"/>
  <c r="BD522" i="3"/>
  <c r="BE522" i="3"/>
  <c r="BF522" i="3"/>
  <c r="BG522" i="3"/>
  <c r="BH522" i="3"/>
  <c r="BI522" i="3"/>
  <c r="BJ522" i="3"/>
  <c r="BK522" i="3"/>
  <c r="BM522" i="3"/>
  <c r="BN522" i="3"/>
  <c r="BO522" i="3"/>
  <c r="BP522" i="3"/>
  <c r="BQ522" i="3"/>
  <c r="BR522" i="3"/>
  <c r="BS522" i="3"/>
  <c r="BT522" i="3"/>
  <c r="H523" i="3"/>
  <c r="AC523" i="3"/>
  <c r="G523" i="3" s="1"/>
  <c r="BB523" i="3"/>
  <c r="BC523" i="3"/>
  <c r="BA523" i="3" s="1"/>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A526" i="3" s="1"/>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G528" i="3" s="1"/>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L530" i="3" s="1"/>
  <c r="BO530" i="3"/>
  <c r="BP530" i="3"/>
  <c r="BQ530" i="3"/>
  <c r="BR530" i="3"/>
  <c r="BS530" i="3"/>
  <c r="BT530" i="3"/>
  <c r="H531" i="3"/>
  <c r="AC531" i="3"/>
  <c r="G531" i="3" s="1"/>
  <c r="BB531" i="3"/>
  <c r="BC531" i="3"/>
  <c r="BA531" i="3" s="1"/>
  <c r="BD531" i="3"/>
  <c r="BE531" i="3"/>
  <c r="BF531" i="3"/>
  <c r="BG531" i="3"/>
  <c r="BH531" i="3"/>
  <c r="BI531" i="3"/>
  <c r="BJ531" i="3"/>
  <c r="BK531" i="3"/>
  <c r="BM531" i="3"/>
  <c r="BN531" i="3"/>
  <c r="BO531" i="3"/>
  <c r="BP531" i="3"/>
  <c r="BR531" i="3"/>
  <c r="BS531" i="3"/>
  <c r="BT531" i="3"/>
  <c r="H532" i="3"/>
  <c r="G532" i="3" s="1"/>
  <c r="AC532" i="3"/>
  <c r="BB532" i="3"/>
  <c r="BA532" i="3" s="1"/>
  <c r="BC532" i="3"/>
  <c r="BD532" i="3"/>
  <c r="BE532" i="3"/>
  <c r="BF532" i="3"/>
  <c r="BG532" i="3"/>
  <c r="BH532" i="3"/>
  <c r="BI532" i="3"/>
  <c r="BJ532" i="3"/>
  <c r="BK532" i="3"/>
  <c r="BM532" i="3"/>
  <c r="BN532" i="3"/>
  <c r="BO532" i="3"/>
  <c r="BP532" i="3"/>
  <c r="BQ532" i="3"/>
  <c r="BR532" i="3"/>
  <c r="BS532" i="3"/>
  <c r="BT532" i="3"/>
  <c r="H533" i="3"/>
  <c r="G533" i="3" s="1"/>
  <c r="AC533" i="3"/>
  <c r="BB533" i="3"/>
  <c r="BC533" i="3"/>
  <c r="BD533" i="3"/>
  <c r="BE533" i="3"/>
  <c r="BF533" i="3"/>
  <c r="BG533" i="3"/>
  <c r="BH533" i="3"/>
  <c r="BI533" i="3"/>
  <c r="BJ533" i="3"/>
  <c r="BK533" i="3"/>
  <c r="BM533" i="3"/>
  <c r="BN533" i="3"/>
  <c r="BO533" i="3"/>
  <c r="BP533" i="3"/>
  <c r="BR533" i="3"/>
  <c r="BS533" i="3"/>
  <c r="BT533" i="3"/>
  <c r="H534" i="3"/>
  <c r="AC534" i="3"/>
  <c r="G534" i="3" s="1"/>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G538" i="3" s="1"/>
  <c r="BB538" i="3"/>
  <c r="BC538" i="3"/>
  <c r="BD538" i="3"/>
  <c r="BE538" i="3"/>
  <c r="BF538" i="3"/>
  <c r="BG538" i="3"/>
  <c r="BH538" i="3"/>
  <c r="BI538" i="3"/>
  <c r="BJ538" i="3"/>
  <c r="BK538" i="3"/>
  <c r="BM538" i="3"/>
  <c r="BN538" i="3"/>
  <c r="BO538" i="3"/>
  <c r="BP538" i="3"/>
  <c r="BQ538" i="3"/>
  <c r="BR538" i="3"/>
  <c r="BS538" i="3"/>
  <c r="BT538" i="3"/>
  <c r="H539" i="3"/>
  <c r="AC539" i="3"/>
  <c r="G539" i="3" s="1"/>
  <c r="BB539" i="3"/>
  <c r="BC539" i="3"/>
  <c r="BA539" i="3" s="1"/>
  <c r="BD539" i="3"/>
  <c r="BE539" i="3"/>
  <c r="BF539" i="3"/>
  <c r="BG539" i="3"/>
  <c r="BH539" i="3"/>
  <c r="BI539" i="3"/>
  <c r="BJ539" i="3"/>
  <c r="BK539" i="3"/>
  <c r="BM539" i="3"/>
  <c r="BN539" i="3"/>
  <c r="BO539" i="3"/>
  <c r="BP539" i="3"/>
  <c r="BR539" i="3"/>
  <c r="BS539" i="3"/>
  <c r="BT539" i="3"/>
  <c r="H540" i="3"/>
  <c r="G540" i="3" s="1"/>
  <c r="AC540" i="3"/>
  <c r="BB540" i="3"/>
  <c r="BA540" i="3" s="1"/>
  <c r="AZ540" i="3" s="1"/>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G543" i="3" s="1"/>
  <c r="AC543" i="3"/>
  <c r="BB543" i="3"/>
  <c r="BC543" i="3"/>
  <c r="BD543" i="3"/>
  <c r="BE543" i="3"/>
  <c r="BF543" i="3"/>
  <c r="BG543" i="3"/>
  <c r="BH543" i="3"/>
  <c r="BI543" i="3"/>
  <c r="BJ543" i="3"/>
  <c r="BK543" i="3"/>
  <c r="BM543" i="3"/>
  <c r="BN543" i="3"/>
  <c r="BO543" i="3"/>
  <c r="BP543" i="3"/>
  <c r="BR543" i="3"/>
  <c r="BS543" i="3"/>
  <c r="BT543" i="3"/>
  <c r="H544" i="3"/>
  <c r="AC544" i="3"/>
  <c r="G544" i="3" s="1"/>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G550" i="3" s="1"/>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G553" i="3" s="1"/>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G557" i="3" s="1"/>
  <c r="BB557" i="3"/>
  <c r="BC557" i="3"/>
  <c r="BA557" i="3" s="1"/>
  <c r="BD557" i="3"/>
  <c r="BE557" i="3"/>
  <c r="BF557" i="3"/>
  <c r="BG557" i="3"/>
  <c r="BH557" i="3"/>
  <c r="BI557" i="3"/>
  <c r="BJ557" i="3"/>
  <c r="BK557" i="3"/>
  <c r="BM557" i="3"/>
  <c r="BN557" i="3"/>
  <c r="BL557" i="3" s="1"/>
  <c r="BO557" i="3"/>
  <c r="BP557" i="3"/>
  <c r="BR557" i="3"/>
  <c r="BS557" i="3"/>
  <c r="BT557" i="3"/>
  <c r="H558" i="3"/>
  <c r="AC558" i="3"/>
  <c r="BB558" i="3"/>
  <c r="BA558" i="3" s="1"/>
  <c r="BC558" i="3"/>
  <c r="BD558" i="3"/>
  <c r="BE558" i="3"/>
  <c r="BF558" i="3"/>
  <c r="BG558" i="3"/>
  <c r="BH558" i="3"/>
  <c r="BI558" i="3"/>
  <c r="BJ558" i="3"/>
  <c r="BK558" i="3"/>
  <c r="BM558" i="3"/>
  <c r="BN558" i="3"/>
  <c r="BO558" i="3"/>
  <c r="BP558" i="3"/>
  <c r="BQ558" i="3"/>
  <c r="BR558" i="3"/>
  <c r="BS558" i="3"/>
  <c r="BT558" i="3"/>
  <c r="H559" i="3"/>
  <c r="G559" i="3" s="1"/>
  <c r="AC559" i="3"/>
  <c r="BB559" i="3"/>
  <c r="BA559" i="3" s="1"/>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G563" i="3" s="1"/>
  <c r="BB563" i="3"/>
  <c r="BC563" i="3"/>
  <c r="BD563" i="3"/>
  <c r="BE563" i="3"/>
  <c r="BF563" i="3"/>
  <c r="BG563" i="3"/>
  <c r="BH563" i="3"/>
  <c r="BI563" i="3"/>
  <c r="BJ563" i="3"/>
  <c r="BK563" i="3"/>
  <c r="BM563" i="3"/>
  <c r="BN563" i="3"/>
  <c r="BO563" i="3"/>
  <c r="BP563" i="3"/>
  <c r="BR563" i="3"/>
  <c r="BS563" i="3"/>
  <c r="BT563" i="3"/>
  <c r="H564" i="3"/>
  <c r="G564" i="3" s="1"/>
  <c r="AC564" i="3"/>
  <c r="BB564" i="3"/>
  <c r="BC564" i="3"/>
  <c r="BD564" i="3"/>
  <c r="BE564" i="3"/>
  <c r="BF564" i="3"/>
  <c r="BG564" i="3"/>
  <c r="BH564" i="3"/>
  <c r="BI564" i="3"/>
  <c r="BJ564" i="3"/>
  <c r="BK564" i="3"/>
  <c r="BM564" i="3"/>
  <c r="BN564" i="3"/>
  <c r="BO564" i="3"/>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A567" i="3" s="1"/>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L568" i="3" s="1"/>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G571" i="3" s="1"/>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G579" i="3" s="1"/>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G583" i="3" s="1"/>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H36" i="39" s="1"/>
  <c r="J30" i="36"/>
  <c r="H30" i="36"/>
  <c r="F30" i="36"/>
  <c r="AA30" i="36" s="1"/>
  <c r="C26" i="35"/>
  <c r="C79" i="35" s="1"/>
  <c r="J31" i="35"/>
  <c r="W31" i="35" s="1"/>
  <c r="H31" i="35"/>
  <c r="U31" i="35" s="1"/>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AB42" i="34" s="1"/>
  <c r="J42" i="34"/>
  <c r="W42" i="34" s="1"/>
  <c r="F42" i="34"/>
  <c r="S42" i="34" s="1"/>
  <c r="J38" i="34"/>
  <c r="W38" i="34" s="1"/>
  <c r="D114" i="34"/>
  <c r="E114" i="34" s="1"/>
  <c r="F114" i="34" s="1"/>
  <c r="G114" i="34" s="1"/>
  <c r="H114" i="34" s="1"/>
  <c r="I114" i="34" s="1"/>
  <c r="J114" i="34" s="1"/>
  <c r="K114" i="34" s="1"/>
  <c r="L114" i="34" s="1"/>
  <c r="M114" i="34" s="1"/>
  <c r="F38" i="34"/>
  <c r="S38" i="34" s="1"/>
  <c r="D112" i="34"/>
  <c r="E112" i="34" s="1"/>
  <c r="F112" i="34" s="1"/>
  <c r="G112" i="34" s="1"/>
  <c r="H112" i="34" s="1"/>
  <c r="I112" i="34" s="1"/>
  <c r="J112" i="34" s="1"/>
  <c r="K112" i="34" s="1"/>
  <c r="L112" i="34" s="1"/>
  <c r="M112" i="34" s="1"/>
  <c r="F40" i="33"/>
  <c r="J41" i="33"/>
  <c r="W41" i="33" s="1"/>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AC12" i="40" s="1"/>
  <c r="M74" i="40"/>
  <c r="L74" i="40"/>
  <c r="K74" i="40"/>
  <c r="J74" i="40"/>
  <c r="I74" i="40"/>
  <c r="H74" i="40"/>
  <c r="G74" i="40"/>
  <c r="F74" i="40"/>
  <c r="E74" i="40"/>
  <c r="D74" i="40"/>
  <c r="C74" i="40"/>
  <c r="P43" i="40"/>
  <c r="P42" i="40"/>
  <c r="V41" i="40"/>
  <c r="T41" i="40"/>
  <c r="R41" i="40"/>
  <c r="P41" i="40"/>
  <c r="Q40" i="40"/>
  <c r="Z40" i="40" s="1"/>
  <c r="H40" i="40"/>
  <c r="Q39" i="40"/>
  <c r="Z39" i="40" s="1"/>
  <c r="H39" i="40"/>
  <c r="U39" i="40" s="1"/>
  <c r="Q38" i="40"/>
  <c r="Z38" i="40" s="1"/>
  <c r="J38" i="40"/>
  <c r="AC38" i="40" s="1"/>
  <c r="Q37" i="40"/>
  <c r="Z37" i="40" s="1"/>
  <c r="Q36" i="40"/>
  <c r="Z36" i="40" s="1"/>
  <c r="Q35" i="40"/>
  <c r="Z35" i="40" s="1"/>
  <c r="Q34" i="40"/>
  <c r="Z34" i="40"/>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s="1"/>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J13" i="39" s="1"/>
  <c r="W13" i="39" s="1"/>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B108" i="37"/>
  <c r="J38" i="37" s="1"/>
  <c r="AC38" i="37" s="1"/>
  <c r="C23" i="37"/>
  <c r="C19" i="37"/>
  <c r="C17" i="37"/>
  <c r="C15" i="37"/>
  <c r="B112" i="37"/>
  <c r="D107" i="37"/>
  <c r="E107" i="37" s="1"/>
  <c r="F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E89" i="37" s="1"/>
  <c r="B86" i="37"/>
  <c r="B84" i="37"/>
  <c r="B82" i="37"/>
  <c r="H26" i="37" s="1"/>
  <c r="AB26" i="37" s="1"/>
  <c r="D79" i="37"/>
  <c r="E79" i="37" s="1"/>
  <c r="D75" i="37"/>
  <c r="E75" i="37" s="1"/>
  <c r="D73" i="37"/>
  <c r="E73" i="37" s="1"/>
  <c r="F73" i="37" s="1"/>
  <c r="D71" i="37"/>
  <c r="H15" i="37"/>
  <c r="AB15" i="37" s="1"/>
  <c r="B68" i="37"/>
  <c r="H14" i="37" s="1"/>
  <c r="AB14" i="37" s="1"/>
  <c r="B66" i="37"/>
  <c r="F13" i="37" s="1"/>
  <c r="S13" i="37" s="1"/>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AB31" i="36" s="1"/>
  <c r="F31" i="36"/>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D62" i="36"/>
  <c r="E62" i="36" s="1"/>
  <c r="F62" i="36" s="1"/>
  <c r="G62" i="36" s="1"/>
  <c r="B59" i="36"/>
  <c r="J13" i="36" s="1"/>
  <c r="W13" i="36" s="1"/>
  <c r="B57" i="36"/>
  <c r="J12" i="36"/>
  <c r="AC12" i="36" s="1"/>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s="1"/>
  <c r="Q16" i="36"/>
  <c r="Z16" i="36" s="1"/>
  <c r="Q14" i="36"/>
  <c r="Z14" i="36" s="1"/>
  <c r="Q13" i="36"/>
  <c r="Z13" i="36" s="1"/>
  <c r="Q12" i="36"/>
  <c r="Z12" i="36" s="1"/>
  <c r="H12" i="36"/>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B101" i="35"/>
  <c r="H36" i="35" s="1"/>
  <c r="AB36" i="35" s="1"/>
  <c r="B99" i="35"/>
  <c r="F35" i="35" s="1"/>
  <c r="AA35" i="35" s="1"/>
  <c r="B97" i="35"/>
  <c r="B77" i="35"/>
  <c r="B75" i="35"/>
  <c r="J24" i="35"/>
  <c r="AC24" i="35" s="1"/>
  <c r="B73" i="35"/>
  <c r="H23" i="35"/>
  <c r="U23" i="35" s="1"/>
  <c r="B57" i="35"/>
  <c r="B61" i="35"/>
  <c r="J13" i="35" s="1"/>
  <c r="AC13" i="35" s="1"/>
  <c r="B59" i="35"/>
  <c r="B131" i="34"/>
  <c r="B129" i="34"/>
  <c r="B127" i="34"/>
  <c r="J45" i="34" s="1"/>
  <c r="W45" i="34" s="1"/>
  <c r="B99" i="34"/>
  <c r="B97" i="34"/>
  <c r="B95" i="34"/>
  <c r="B93" i="34"/>
  <c r="F29" i="34" s="1"/>
  <c r="S29" i="34" s="1"/>
  <c r="B75" i="34"/>
  <c r="B73" i="34"/>
  <c r="B71" i="34"/>
  <c r="B130" i="33"/>
  <c r="F46" i="33" s="1"/>
  <c r="AA46" i="33" s="1"/>
  <c r="B128" i="33"/>
  <c r="B126" i="33"/>
  <c r="B98" i="33"/>
  <c r="B96" i="33"/>
  <c r="F30" i="33" s="1"/>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Q11" i="34"/>
  <c r="Z11" i="34" s="1"/>
  <c r="Q10" i="34"/>
  <c r="Z10" i="34" s="1"/>
  <c r="F10" i="34"/>
  <c r="AA10" i="34" s="1"/>
  <c r="Q9" i="34"/>
  <c r="Z9" i="34" s="1"/>
  <c r="J9" i="34"/>
  <c r="AC9" i="34" s="1"/>
  <c r="H9" i="34"/>
  <c r="F9" i="34"/>
  <c r="AA9" i="34" s="1"/>
  <c r="J8" i="34"/>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J46" i="21" s="1"/>
  <c r="B128" i="21"/>
  <c r="B126" i="21"/>
  <c r="J44" i="21" s="1"/>
  <c r="B98" i="21"/>
  <c r="B96" i="21"/>
  <c r="B94" i="21"/>
  <c r="J29" i="21" s="1"/>
  <c r="AC29" i="21" s="1"/>
  <c r="B92" i="21"/>
  <c r="B90" i="21"/>
  <c r="B74" i="21"/>
  <c r="B72"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D8" i="12" s="1"/>
  <c r="E7" i="12"/>
  <c r="G7" i="12"/>
  <c r="K5" i="3"/>
  <c r="J5" i="3"/>
  <c r="BE10" i="3"/>
  <c r="E8" i="6" s="1"/>
  <c r="F27" i="6" s="1"/>
  <c r="D29" i="43" s="1"/>
  <c r="D1" i="43" s="1"/>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L587" i="3" s="1"/>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J44" i="39"/>
  <c r="AC44" i="39" s="1"/>
  <c r="F36" i="39"/>
  <c r="S36" i="39" s="1"/>
  <c r="J35" i="39"/>
  <c r="AC35" i="39" s="1"/>
  <c r="F35" i="39"/>
  <c r="AA35" i="39" s="1"/>
  <c r="J36" i="39"/>
  <c r="U9" i="39"/>
  <c r="W40" i="39"/>
  <c r="U30" i="37"/>
  <c r="W31" i="37"/>
  <c r="E103" i="37"/>
  <c r="F103" i="37" s="1"/>
  <c r="G103" i="37" s="1"/>
  <c r="H103" i="37" s="1"/>
  <c r="I103" i="37" s="1"/>
  <c r="J103" i="37" s="1"/>
  <c r="K103" i="37" s="1"/>
  <c r="L103" i="37" s="1"/>
  <c r="M103" i="37" s="1"/>
  <c r="U14" i="37"/>
  <c r="F29" i="36"/>
  <c r="AA29" i="36" s="1"/>
  <c r="W8" i="36"/>
  <c r="F16" i="36"/>
  <c r="AA16" i="36" s="1"/>
  <c r="U9" i="36"/>
  <c r="S30" i="36"/>
  <c r="U31" i="36"/>
  <c r="J33" i="36"/>
  <c r="W33" i="36" s="1"/>
  <c r="H22" i="35"/>
  <c r="AB22" i="35" s="1"/>
  <c r="AC27" i="35"/>
  <c r="W28" i="35"/>
  <c r="S34" i="35"/>
  <c r="W34" i="35"/>
  <c r="W36" i="35"/>
  <c r="S31" i="35"/>
  <c r="F36" i="34"/>
  <c r="J35" i="34"/>
  <c r="W9" i="34"/>
  <c r="S34" i="34"/>
  <c r="U34" i="34"/>
  <c r="H39" i="33"/>
  <c r="AB39" i="33" s="1"/>
  <c r="F26" i="33"/>
  <c r="AA26" i="33" s="1"/>
  <c r="S9" i="33"/>
  <c r="S40" i="33"/>
  <c r="W33" i="33"/>
  <c r="W39" i="33"/>
  <c r="S27" i="35"/>
  <c r="F11" i="40"/>
  <c r="AA11" i="40" s="1"/>
  <c r="H11" i="40"/>
  <c r="AB11" i="40" s="1"/>
  <c r="W8" i="40"/>
  <c r="AA9" i="40"/>
  <c r="U9" i="40"/>
  <c r="S34" i="40"/>
  <c r="W31" i="40"/>
  <c r="F42" i="39"/>
  <c r="AA42" i="39" s="1"/>
  <c r="F41" i="39"/>
  <c r="S41" i="39" s="1"/>
  <c r="H40" i="39"/>
  <c r="AB40" i="39" s="1"/>
  <c r="H39" i="39"/>
  <c r="U39" i="39" s="1"/>
  <c r="S38" i="39"/>
  <c r="H34" i="39"/>
  <c r="U34" i="39" s="1"/>
  <c r="E109" i="39"/>
  <c r="H31" i="39"/>
  <c r="AB31" i="39" s="1"/>
  <c r="E101" i="39"/>
  <c r="F101" i="39" s="1"/>
  <c r="G101" i="39" s="1"/>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H27" i="39"/>
  <c r="U27" i="39" s="1"/>
  <c r="J19" i="39"/>
  <c r="AC19" i="39" s="1"/>
  <c r="J17" i="39"/>
  <c r="J27" i="39"/>
  <c r="AC27" i="39" s="1"/>
  <c r="F27" i="39"/>
  <c r="S40" i="21"/>
  <c r="S34" i="21"/>
  <c r="C21" i="39"/>
  <c r="S40" i="39"/>
  <c r="H32" i="33"/>
  <c r="AB32" i="33" s="1"/>
  <c r="H37" i="40"/>
  <c r="U37" i="40" s="1"/>
  <c r="H36" i="40"/>
  <c r="AB36" i="40" s="1"/>
  <c r="F35" i="40"/>
  <c r="AA35" i="40" s="1"/>
  <c r="H23" i="40"/>
  <c r="H17" i="40"/>
  <c r="U17" i="40" s="1"/>
  <c r="J15" i="40"/>
  <c r="W15" i="40" s="1"/>
  <c r="J11" i="40"/>
  <c r="W11" i="40" s="1"/>
  <c r="AB8" i="39"/>
  <c r="AC12" i="34"/>
  <c r="AB12" i="35"/>
  <c r="W32" i="40"/>
  <c r="S44" i="39"/>
  <c r="F37" i="39"/>
  <c r="AA37" i="39" s="1"/>
  <c r="J34" i="36"/>
  <c r="W34" i="36" s="1"/>
  <c r="U30" i="36"/>
  <c r="J30" i="35"/>
  <c r="W30" i="35" s="1"/>
  <c r="H30" i="35"/>
  <c r="AB30" i="35" s="1"/>
  <c r="F22" i="35"/>
  <c r="AA22" i="35" s="1"/>
  <c r="H10" i="35"/>
  <c r="U10" i="35" s="1"/>
  <c r="F33" i="36"/>
  <c r="AA33" i="36" s="1"/>
  <c r="W30" i="36"/>
  <c r="H16" i="36"/>
  <c r="AB16" i="36" s="1"/>
  <c r="J29" i="36"/>
  <c r="AC29" i="36" s="1"/>
  <c r="F12" i="36"/>
  <c r="F24" i="36"/>
  <c r="AA24" i="36" s="1"/>
  <c r="F34" i="36"/>
  <c r="S34" i="36" s="1"/>
  <c r="S10" i="36"/>
  <c r="AB8" i="36"/>
  <c r="S8" i="36"/>
  <c r="F14" i="35"/>
  <c r="AA14" i="35" s="1"/>
  <c r="F23" i="35"/>
  <c r="AA23" i="35" s="1"/>
  <c r="J32" i="35"/>
  <c r="AC32" i="35" s="1"/>
  <c r="J16" i="35"/>
  <c r="AC16" i="35" s="1"/>
  <c r="H16" i="35"/>
  <c r="U16" i="35" s="1"/>
  <c r="F16" i="35"/>
  <c r="S16" i="35" s="1"/>
  <c r="H14" i="35"/>
  <c r="AB14" i="35" s="1"/>
  <c r="J29" i="35"/>
  <c r="H33" i="35"/>
  <c r="AC8" i="35"/>
  <c r="J20" i="35"/>
  <c r="W20" i="35" s="1"/>
  <c r="F35" i="37"/>
  <c r="S35" i="37" s="1"/>
  <c r="E101" i="37"/>
  <c r="F101" i="37" s="1"/>
  <c r="G101" i="37" s="1"/>
  <c r="H101" i="37" s="1"/>
  <c r="I101" i="37" s="1"/>
  <c r="J101" i="37" s="1"/>
  <c r="K101" i="37" s="1"/>
  <c r="L101" i="37" s="1"/>
  <c r="M101" i="37" s="1"/>
  <c r="J34" i="37"/>
  <c r="W34" i="37" s="1"/>
  <c r="S10" i="37"/>
  <c r="AB34" i="37"/>
  <c r="J33" i="37"/>
  <c r="AC33" i="37" s="1"/>
  <c r="H40" i="34"/>
  <c r="U40" i="34" s="1"/>
  <c r="H36" i="34"/>
  <c r="U36" i="34" s="1"/>
  <c r="F37" i="34"/>
  <c r="AA37" i="34" s="1"/>
  <c r="F28" i="34"/>
  <c r="AA28" i="34" s="1"/>
  <c r="F27" i="34"/>
  <c r="AA27" i="34" s="1"/>
  <c r="F25" i="34"/>
  <c r="S25" i="34" s="1"/>
  <c r="H23" i="34"/>
  <c r="U23" i="34" s="1"/>
  <c r="J23" i="34"/>
  <c r="F19" i="34"/>
  <c r="H17" i="34"/>
  <c r="U17" i="34" s="1"/>
  <c r="F15" i="34"/>
  <c r="J15" i="34"/>
  <c r="W15" i="34" s="1"/>
  <c r="H15" i="34"/>
  <c r="AB15" i="34" s="1"/>
  <c r="S9" i="34"/>
  <c r="J28" i="34"/>
  <c r="W28" i="34" s="1"/>
  <c r="F41" i="33"/>
  <c r="AA41" i="33" s="1"/>
  <c r="E113" i="33"/>
  <c r="F32" i="33"/>
  <c r="AA32" i="33" s="1"/>
  <c r="J19" i="33"/>
  <c r="AC19" i="33" s="1"/>
  <c r="J15" i="33"/>
  <c r="AC15" i="33" s="1"/>
  <c r="F11" i="33"/>
  <c r="AA11" i="33" s="1"/>
  <c r="S26" i="33"/>
  <c r="U40" i="33"/>
  <c r="U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F29" i="35"/>
  <c r="H29" i="35"/>
  <c r="AB29" i="35" s="1"/>
  <c r="H33" i="37"/>
  <c r="AB33" i="37" s="1"/>
  <c r="F33" i="37"/>
  <c r="AA33" i="37" s="1"/>
  <c r="U34" i="37"/>
  <c r="W33" i="37"/>
  <c r="S34" i="37"/>
  <c r="AA34" i="37"/>
  <c r="J43" i="34"/>
  <c r="J40" i="34"/>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C38" i="34"/>
  <c r="AA38" i="34"/>
  <c r="J37" i="34"/>
  <c r="AC37" i="34" s="1"/>
  <c r="J11" i="33"/>
  <c r="W11" i="33" s="1"/>
  <c r="S28" i="34"/>
  <c r="J42" i="21"/>
  <c r="AC42" i="21" s="1"/>
  <c r="H42" i="21"/>
  <c r="U42" i="21" s="1"/>
  <c r="J44" i="34"/>
  <c r="F44" i="34"/>
  <c r="J10" i="35"/>
  <c r="W10" i="35" s="1"/>
  <c r="J14" i="21"/>
  <c r="W14" i="21" s="1"/>
  <c r="F14" i="21"/>
  <c r="S14" i="21" s="1"/>
  <c r="H14" i="21"/>
  <c r="U14" i="21" s="1"/>
  <c r="H28" i="21"/>
  <c r="AB28" i="21" s="1"/>
  <c r="F28" i="21"/>
  <c r="AA28" i="21" s="1"/>
  <c r="J28" i="21"/>
  <c r="W28" i="21" s="1"/>
  <c r="H30" i="21"/>
  <c r="U30" i="21" s="1"/>
  <c r="F30" i="21"/>
  <c r="S30" i="21" s="1"/>
  <c r="J30" i="21"/>
  <c r="AC30" i="21" s="1"/>
  <c r="H44" i="21"/>
  <c r="U44" i="21" s="1"/>
  <c r="H46" i="21"/>
  <c r="U46" i="21" s="1"/>
  <c r="F46" i="21"/>
  <c r="AA46"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H27" i="21"/>
  <c r="AB27" i="21" s="1"/>
  <c r="F31" i="21"/>
  <c r="S31" i="21" s="1"/>
  <c r="F27" i="33"/>
  <c r="AA27" i="33" s="1"/>
  <c r="J13" i="33"/>
  <c r="H13" i="33"/>
  <c r="F13" i="33"/>
  <c r="S13" i="33" s="1"/>
  <c r="J29" i="33"/>
  <c r="AC29" i="33" s="1"/>
  <c r="H29" i="33"/>
  <c r="U29" i="33" s="1"/>
  <c r="F29" i="33"/>
  <c r="S29" i="33" s="1"/>
  <c r="J31" i="33"/>
  <c r="W31" i="33" s="1"/>
  <c r="H31" i="33"/>
  <c r="U31" i="33" s="1"/>
  <c r="F31" i="33"/>
  <c r="H45" i="33"/>
  <c r="J45" i="33"/>
  <c r="W45" i="33" s="1"/>
  <c r="F45" i="33"/>
  <c r="AA45" i="33" s="1"/>
  <c r="J14" i="34"/>
  <c r="W14" i="34" s="1"/>
  <c r="F14" i="34"/>
  <c r="H14" i="34"/>
  <c r="H30" i="34"/>
  <c r="F30" i="34"/>
  <c r="S30" i="34" s="1"/>
  <c r="J30" i="34"/>
  <c r="W30" i="34" s="1"/>
  <c r="H32" i="34"/>
  <c r="F32" i="34"/>
  <c r="J32" i="34"/>
  <c r="W32" i="34" s="1"/>
  <c r="H46" i="34"/>
  <c r="F46" i="34"/>
  <c r="J46" i="34"/>
  <c r="H11" i="35"/>
  <c r="U11" i="35" s="1"/>
  <c r="J11" i="35"/>
  <c r="AC11" i="35" s="1"/>
  <c r="F11" i="35"/>
  <c r="S11" i="35" s="1"/>
  <c r="J26" i="36"/>
  <c r="W26" i="36" s="1"/>
  <c r="H28" i="36"/>
  <c r="U28" i="36" s="1"/>
  <c r="J11" i="36"/>
  <c r="AC11" i="36" s="1"/>
  <c r="H11" i="36"/>
  <c r="F11" i="36"/>
  <c r="AA11" i="36" s="1"/>
  <c r="H13" i="36"/>
  <c r="AB13" i="36" s="1"/>
  <c r="F89" i="37"/>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W12" i="40"/>
  <c r="F14" i="33"/>
  <c r="S14" i="33" s="1"/>
  <c r="H30" i="33"/>
  <c r="AB30" i="33" s="1"/>
  <c r="J30" i="33"/>
  <c r="J44" i="33"/>
  <c r="AC44" i="33" s="1"/>
  <c r="J46" i="33"/>
  <c r="AC46" i="33" s="1"/>
  <c r="H46" i="33"/>
  <c r="J13" i="34"/>
  <c r="W13" i="34" s="1"/>
  <c r="J29" i="34"/>
  <c r="H29" i="34"/>
  <c r="AB29" i="34" s="1"/>
  <c r="H31" i="34"/>
  <c r="AB31" i="34" s="1"/>
  <c r="H45" i="34"/>
  <c r="U45" i="34" s="1"/>
  <c r="F45" i="34"/>
  <c r="S45" i="34" s="1"/>
  <c r="F47" i="34"/>
  <c r="S47" i="34" s="1"/>
  <c r="F13" i="35"/>
  <c r="H13" i="35"/>
  <c r="U13" i="35" s="1"/>
  <c r="F25" i="35"/>
  <c r="S25" i="35" s="1"/>
  <c r="J35" i="35"/>
  <c r="AC35" i="35" s="1"/>
  <c r="H35" i="35"/>
  <c r="AB35" i="35" s="1"/>
  <c r="F25" i="36"/>
  <c r="S25" i="36" s="1"/>
  <c r="J13" i="37"/>
  <c r="W13" i="37" s="1"/>
  <c r="F28" i="37"/>
  <c r="AA28" i="37" s="1"/>
  <c r="J28" i="37"/>
  <c r="AC28" i="37" s="1"/>
  <c r="H28" i="37"/>
  <c r="U28" i="37" s="1"/>
  <c r="H38" i="37"/>
  <c r="AB38" i="37" s="1"/>
  <c r="F38" i="37"/>
  <c r="S38" i="37" s="1"/>
  <c r="F43" i="39"/>
  <c r="AA43" i="39" s="1"/>
  <c r="H43" i="39"/>
  <c r="J14" i="39"/>
  <c r="AC14" i="39" s="1"/>
  <c r="F14" i="39"/>
  <c r="H14" i="39"/>
  <c r="AB14" i="39" s="1"/>
  <c r="F12" i="40"/>
  <c r="S12" i="40" s="1"/>
  <c r="H12" i="40"/>
  <c r="AB12" i="40" s="1"/>
  <c r="H30" i="40"/>
  <c r="AB30" i="40" s="1"/>
  <c r="H33" i="40"/>
  <c r="U33" i="40" s="1"/>
  <c r="J35" i="40"/>
  <c r="AC35" i="40" s="1"/>
  <c r="J37" i="40"/>
  <c r="AC37" i="40" s="1"/>
  <c r="J13" i="40"/>
  <c r="W13" i="40" s="1"/>
  <c r="F14" i="37"/>
  <c r="S14" i="37" s="1"/>
  <c r="F13" i="39"/>
  <c r="H13" i="39"/>
  <c r="H14" i="40"/>
  <c r="AB14" i="40" s="1"/>
  <c r="J14" i="40"/>
  <c r="W14" i="40" s="1"/>
  <c r="F14" i="40"/>
  <c r="AA14" i="40" s="1"/>
  <c r="J14" i="37"/>
  <c r="AC14" i="37" s="1"/>
  <c r="U31" i="34"/>
  <c r="J36" i="37"/>
  <c r="AC36" i="37" s="1"/>
  <c r="AB11" i="35"/>
  <c r="J10" i="36"/>
  <c r="AC10" i="36" s="1"/>
  <c r="AB26" i="33"/>
  <c r="AB30" i="21"/>
  <c r="AA14" i="37"/>
  <c r="S11" i="36"/>
  <c r="W11" i="36"/>
  <c r="W11" i="35"/>
  <c r="AC30" i="34"/>
  <c r="S45" i="33"/>
  <c r="AB31" i="33"/>
  <c r="W29" i="33"/>
  <c r="AC28" i="21"/>
  <c r="BA586" i="3"/>
  <c r="F17" i="21"/>
  <c r="AA17" i="21" s="1"/>
  <c r="H17" i="21"/>
  <c r="AB17" i="21" s="1"/>
  <c r="F15" i="21"/>
  <c r="S15" i="21" s="1"/>
  <c r="J41" i="39"/>
  <c r="W41" i="39" s="1"/>
  <c r="W44" i="39"/>
  <c r="W35" i="39"/>
  <c r="S35" i="39"/>
  <c r="G535" i="3"/>
  <c r="G527" i="3"/>
  <c r="G510" i="3"/>
  <c r="G496" i="3"/>
  <c r="G580" i="3"/>
  <c r="G572" i="3"/>
  <c r="G554" i="3"/>
  <c r="BL584" i="3"/>
  <c r="BL576" i="3"/>
  <c r="BL560" i="3"/>
  <c r="BL546" i="3"/>
  <c r="BL538" i="3"/>
  <c r="BL522" i="3"/>
  <c r="BL502" i="3"/>
  <c r="BL578" i="3"/>
  <c r="BL570" i="3"/>
  <c r="BL562" i="3"/>
  <c r="BL552" i="3"/>
  <c r="BL540" i="3"/>
  <c r="G529" i="3"/>
  <c r="BL518" i="3"/>
  <c r="BL500" i="3"/>
  <c r="BA582" i="3"/>
  <c r="BA554" i="3"/>
  <c r="BA548" i="3"/>
  <c r="BA544" i="3"/>
  <c r="BA536" i="3"/>
  <c r="BA528" i="3"/>
  <c r="BA524" i="3"/>
  <c r="BA516" i="3"/>
  <c r="BA510" i="3"/>
  <c r="BA504" i="3"/>
  <c r="BA498" i="3"/>
  <c r="BA587" i="3"/>
  <c r="BA583" i="3"/>
  <c r="BA579" i="3"/>
  <c r="BA575" i="3"/>
  <c r="BA571" i="3"/>
  <c r="BA563" i="3"/>
  <c r="BA553" i="3"/>
  <c r="BA547" i="3"/>
  <c r="BA543" i="3"/>
  <c r="BA535" i="3"/>
  <c r="BA527" i="3"/>
  <c r="BA517" i="3"/>
  <c r="BA507" i="3"/>
  <c r="BA499" i="3"/>
  <c r="AZ499" i="3" s="1"/>
  <c r="G581" i="3"/>
  <c r="G577" i="3"/>
  <c r="G573" i="3"/>
  <c r="G569" i="3"/>
  <c r="G561" i="3"/>
  <c r="AC557" i="3"/>
  <c r="BQ557" i="3"/>
  <c r="BQ583" i="3"/>
  <c r="BQ581" i="3"/>
  <c r="BQ579" i="3"/>
  <c r="BQ577" i="3"/>
  <c r="BL577" i="3" s="1"/>
  <c r="BQ575" i="3"/>
  <c r="BL575" i="3"/>
  <c r="AZ575" i="3" s="1"/>
  <c r="BQ573" i="3"/>
  <c r="BQ571" i="3"/>
  <c r="BQ569" i="3"/>
  <c r="BL569" i="3" s="1"/>
  <c r="BQ567" i="3"/>
  <c r="BL567" i="3"/>
  <c r="BQ565" i="3"/>
  <c r="BQ563" i="3"/>
  <c r="BQ561" i="3"/>
  <c r="BQ559" i="3"/>
  <c r="BL559" i="3" s="1"/>
  <c r="G555" i="3"/>
  <c r="G549" i="3"/>
  <c r="G545" i="3"/>
  <c r="G541" i="3"/>
  <c r="G537" i="3"/>
  <c r="BQ555" i="3"/>
  <c r="BL555" i="3"/>
  <c r="BQ553" i="3"/>
  <c r="BL553" i="3" s="1"/>
  <c r="BQ551" i="3"/>
  <c r="BL551" i="3" s="1"/>
  <c r="BQ549" i="3"/>
  <c r="BQ547" i="3"/>
  <c r="BL547" i="3" s="1"/>
  <c r="AZ547" i="3" s="1"/>
  <c r="BQ545" i="3"/>
  <c r="BL545" i="3" s="1"/>
  <c r="BQ543" i="3"/>
  <c r="BL543" i="3" s="1"/>
  <c r="AZ543" i="3" s="1"/>
  <c r="BQ541" i="3"/>
  <c r="BQ539" i="3"/>
  <c r="BL539" i="3" s="1"/>
  <c r="BQ537" i="3"/>
  <c r="BQ535" i="3"/>
  <c r="BL535" i="3" s="1"/>
  <c r="AZ535" i="3" s="1"/>
  <c r="BQ533" i="3"/>
  <c r="BQ531" i="3"/>
  <c r="BL531" i="3" s="1"/>
  <c r="BQ529" i="3"/>
  <c r="BQ527" i="3"/>
  <c r="BL527" i="3" s="1"/>
  <c r="AZ527" i="3" s="1"/>
  <c r="BQ525" i="3"/>
  <c r="BQ523" i="3"/>
  <c r="BL523" i="3" s="1"/>
  <c r="AC521" i="3"/>
  <c r="G521" i="3" s="1"/>
  <c r="BQ521" i="3"/>
  <c r="BL520" i="3"/>
  <c r="G517" i="3"/>
  <c r="G513" i="3"/>
  <c r="BQ519" i="3"/>
  <c r="BQ517" i="3"/>
  <c r="BL517" i="3" s="1"/>
  <c r="AZ517" i="3" s="1"/>
  <c r="BQ515" i="3"/>
  <c r="BL515" i="3"/>
  <c r="BQ513" i="3"/>
  <c r="BQ511" i="3"/>
  <c r="BA509" i="3"/>
  <c r="AC509" i="3"/>
  <c r="BQ509" i="3"/>
  <c r="BL508" i="3"/>
  <c r="G507" i="3"/>
  <c r="G503" i="3"/>
  <c r="G499" i="3"/>
  <c r="G495" i="3"/>
  <c r="BQ507" i="3"/>
  <c r="BQ505" i="3"/>
  <c r="BQ503" i="3"/>
  <c r="BL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s="1"/>
  <c r="F25" i="21"/>
  <c r="S25" i="21" s="1"/>
  <c r="J25" i="21"/>
  <c r="AC25" i="21" s="1"/>
  <c r="E125" i="33"/>
  <c r="F125" i="33" s="1"/>
  <c r="G125" i="33" s="1"/>
  <c r="H43" i="33"/>
  <c r="AB43" i="33" s="1"/>
  <c r="H17" i="37"/>
  <c r="U17" i="37" s="1"/>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F32" i="40"/>
  <c r="S32" i="40" s="1"/>
  <c r="H32" i="40"/>
  <c r="AB32" i="40" s="1"/>
  <c r="J36" i="40"/>
  <c r="W36" i="40" s="1"/>
  <c r="H19" i="37"/>
  <c r="AB19" i="37" s="1"/>
  <c r="H42" i="33"/>
  <c r="AB42" i="33" s="1"/>
  <c r="J43" i="33"/>
  <c r="AC43" i="33" s="1"/>
  <c r="S28" i="31"/>
  <c r="S27" i="31"/>
  <c r="S26" i="31"/>
  <c r="U14" i="40"/>
  <c r="AC33" i="36"/>
  <c r="U35" i="35"/>
  <c r="AA12" i="35"/>
  <c r="W23" i="35"/>
  <c r="AB28" i="37"/>
  <c r="AC8" i="37"/>
  <c r="U26" i="37"/>
  <c r="W37" i="34"/>
  <c r="AC36" i="34"/>
  <c r="AA13" i="33"/>
  <c r="AC31" i="33"/>
  <c r="AC45" i="33"/>
  <c r="W44" i="33"/>
  <c r="U11" i="33"/>
  <c r="U19" i="21"/>
  <c r="U26" i="21"/>
  <c r="U12" i="21"/>
  <c r="F43" i="33"/>
  <c r="AA43" i="33" s="1"/>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H5" i="3"/>
  <c r="C12" i="43"/>
  <c r="H19" i="40"/>
  <c r="U19" i="40" s="1"/>
  <c r="F88" i="40"/>
  <c r="G88" i="40" s="1"/>
  <c r="F19" i="40"/>
  <c r="S19" i="40" s="1"/>
  <c r="S14" i="40"/>
  <c r="AC13" i="40"/>
  <c r="AB33" i="40"/>
  <c r="W23" i="39"/>
  <c r="AC43" i="39"/>
  <c r="W43" i="39"/>
  <c r="U45" i="39"/>
  <c r="AB45" i="39"/>
  <c r="AB44" i="39"/>
  <c r="U44" i="39"/>
  <c r="H37" i="39"/>
  <c r="AB37" i="39" s="1"/>
  <c r="AC37" i="39"/>
  <c r="W37" i="39"/>
  <c r="H25" i="39"/>
  <c r="AB25" i="39" s="1"/>
  <c r="J25" i="39"/>
  <c r="F25" i="39"/>
  <c r="AA25" i="39" s="1"/>
  <c r="F15" i="39"/>
  <c r="AA15" i="39" s="1"/>
  <c r="H15" i="39"/>
  <c r="U15" i="39" s="1"/>
  <c r="J15" i="39"/>
  <c r="W15" i="39" s="1"/>
  <c r="H41" i="39"/>
  <c r="AB34" i="39"/>
  <c r="S42" i="39"/>
  <c r="W14" i="39"/>
  <c r="AA41" i="39"/>
  <c r="W9" i="39"/>
  <c r="W8" i="39"/>
  <c r="J19" i="40"/>
  <c r="AC19" i="40" s="1"/>
  <c r="J50" i="40"/>
  <c r="B54" i="72"/>
  <c r="H103" i="9"/>
  <c r="D8" i="53" s="1"/>
  <c r="B16" i="53"/>
  <c r="B33" i="72" s="1"/>
  <c r="C7" i="37"/>
  <c r="C7" i="34"/>
  <c r="C7" i="36"/>
  <c r="W35" i="40"/>
  <c r="A118" i="9"/>
  <c r="A4" i="52"/>
  <c r="B41" i="72" s="1"/>
  <c r="A12" i="52"/>
  <c r="B56" i="72" s="1"/>
  <c r="G4" i="4"/>
  <c r="I4" i="4"/>
  <c r="K5" i="4"/>
  <c r="B47" i="48" s="1"/>
  <c r="A2" i="9"/>
  <c r="N2" i="43"/>
  <c r="F59" i="43" s="1"/>
  <c r="BL549"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G370" i="3"/>
  <c r="BL371" i="3"/>
  <c r="G372" i="3"/>
  <c r="BL373" i="3"/>
  <c r="BA375" i="3"/>
  <c r="AZ375" i="3" s="1"/>
  <c r="BA376" i="3"/>
  <c r="AZ376" i="3" s="1"/>
  <c r="BL376" i="3"/>
  <c r="G377" i="3"/>
  <c r="BA378" i="3"/>
  <c r="AZ378" i="3"/>
  <c r="BL378" i="3"/>
  <c r="G379" i="3"/>
  <c r="BA380" i="3"/>
  <c r="G388" i="3"/>
  <c r="BL389" i="3"/>
  <c r="G390" i="3"/>
  <c r="BL391" i="3"/>
  <c r="BA393" i="3"/>
  <c r="AZ393" i="3" s="1"/>
  <c r="BA394" i="3"/>
  <c r="BL394" i="3"/>
  <c r="G113" i="3"/>
  <c r="BA115" i="3"/>
  <c r="BL116" i="3"/>
  <c r="AZ116" i="3" s="1"/>
  <c r="G117" i="3"/>
  <c r="BA119" i="3"/>
  <c r="AZ119" i="3" s="1"/>
  <c r="BL120" i="3"/>
  <c r="AZ120" i="3" s="1"/>
  <c r="G121" i="3"/>
  <c r="BA123" i="3"/>
  <c r="AZ123" i="3" s="1"/>
  <c r="BL124" i="3"/>
  <c r="G125" i="3"/>
  <c r="BA127" i="3"/>
  <c r="BL128" i="3"/>
  <c r="G129" i="3"/>
  <c r="BA131" i="3"/>
  <c r="BL132" i="3"/>
  <c r="AZ132" i="3"/>
  <c r="G133" i="3"/>
  <c r="BA135" i="3"/>
  <c r="AZ135" i="3" s="1"/>
  <c r="BL136" i="3"/>
  <c r="G137" i="3"/>
  <c r="BA139" i="3"/>
  <c r="AZ139" i="3" s="1"/>
  <c r="BL140" i="3"/>
  <c r="AZ140" i="3" s="1"/>
  <c r="G141" i="3"/>
  <c r="BA143" i="3"/>
  <c r="AZ143" i="3" s="1"/>
  <c r="BL144" i="3"/>
  <c r="G145" i="3"/>
  <c r="BA147" i="3"/>
  <c r="AZ147" i="3" s="1"/>
  <c r="BL148" i="3"/>
  <c r="AZ148" i="3" s="1"/>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s="1"/>
  <c r="BL176" i="3"/>
  <c r="G177" i="3"/>
  <c r="BA179" i="3"/>
  <c r="AZ179" i="3" s="1"/>
  <c r="BL180" i="3"/>
  <c r="AZ180" i="3" s="1"/>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43" i="3"/>
  <c r="AZ47" i="3"/>
  <c r="AZ59" i="3"/>
  <c r="AZ63" i="3"/>
  <c r="AZ67" i="3"/>
  <c r="AZ71" i="3"/>
  <c r="AZ79" i="3"/>
  <c r="AZ83" i="3"/>
  <c r="AZ136" i="3"/>
  <c r="AZ144" i="3"/>
  <c r="AZ200" i="3"/>
  <c r="AZ85" i="3"/>
  <c r="AZ89" i="3"/>
  <c r="AZ97" i="3"/>
  <c r="AZ105" i="3"/>
  <c r="AZ128" i="3"/>
  <c r="G530" i="3"/>
  <c r="G516" i="3"/>
  <c r="G506" i="3"/>
  <c r="G494" i="3"/>
  <c r="G16" i="3"/>
  <c r="G15" i="3"/>
  <c r="BA304" i="3"/>
  <c r="BA305" i="3"/>
  <c r="AZ305" i="3" s="1"/>
  <c r="BL305" i="3"/>
  <c r="G306" i="3"/>
  <c r="G309" i="3"/>
  <c r="BL310" i="3"/>
  <c r="BA312" i="3"/>
  <c r="AZ312" i="3"/>
  <c r="BA313" i="3"/>
  <c r="BL313" i="3"/>
  <c r="AZ313" i="3" s="1"/>
  <c r="G314" i="3"/>
  <c r="G317" i="3"/>
  <c r="BL318" i="3"/>
  <c r="BA320" i="3"/>
  <c r="AZ320" i="3" s="1"/>
  <c r="BA321" i="3"/>
  <c r="BL321" i="3"/>
  <c r="G322" i="3"/>
  <c r="G325" i="3"/>
  <c r="BL326" i="3"/>
  <c r="BA328" i="3"/>
  <c r="AZ328" i="3" s="1"/>
  <c r="BA329" i="3"/>
  <c r="BL329" i="3"/>
  <c r="G330" i="3"/>
  <c r="G333" i="3"/>
  <c r="BL334" i="3"/>
  <c r="BA336" i="3"/>
  <c r="BA337" i="3"/>
  <c r="AZ337" i="3" s="1"/>
  <c r="BL337" i="3"/>
  <c r="G338" i="3"/>
  <c r="G341" i="3"/>
  <c r="BA342" i="3"/>
  <c r="AZ342" i="3" s="1"/>
  <c r="BL342" i="3"/>
  <c r="BA344" i="3"/>
  <c r="BL344" i="3"/>
  <c r="AZ344" i="3" s="1"/>
  <c r="BA346" i="3"/>
  <c r="BA347" i="3"/>
  <c r="AZ347" i="3" s="1"/>
  <c r="BL347" i="3"/>
  <c r="G350" i="3"/>
  <c r="BA351" i="3"/>
  <c r="AZ351" i="3"/>
  <c r="BL351" i="3"/>
  <c r="G352" i="3"/>
  <c r="G354" i="3"/>
  <c r="BA355" i="3"/>
  <c r="AZ355" i="3" s="1"/>
  <c r="BA356" i="3"/>
  <c r="BL356" i="3"/>
  <c r="G357" i="3"/>
  <c r="G360" i="3"/>
  <c r="BL361" i="3"/>
  <c r="BA363" i="3"/>
  <c r="AZ363" i="3" s="1"/>
  <c r="BA364" i="3"/>
  <c r="BL364" i="3"/>
  <c r="G365" i="3"/>
  <c r="G368" i="3"/>
  <c r="BL369" i="3"/>
  <c r="BA371" i="3"/>
  <c r="BA372" i="3"/>
  <c r="AZ372" i="3" s="1"/>
  <c r="BL372" i="3"/>
  <c r="G373" i="3"/>
  <c r="G376" i="3"/>
  <c r="BL377" i="3"/>
  <c r="BL379" i="3"/>
  <c r="BA381" i="3"/>
  <c r="AZ381" i="3" s="1"/>
  <c r="BA382" i="3"/>
  <c r="AZ382" i="3" s="1"/>
  <c r="BL382" i="3"/>
  <c r="G383" i="3"/>
  <c r="G386" i="3"/>
  <c r="BL387" i="3"/>
  <c r="BA389" i="3"/>
  <c r="AZ389" i="3" s="1"/>
  <c r="BA390" i="3"/>
  <c r="BL390" i="3"/>
  <c r="G391" i="3"/>
  <c r="G394" i="3"/>
  <c r="AZ138" i="3"/>
  <c r="AZ142" i="3"/>
  <c r="AZ146" i="3"/>
  <c r="AZ154" i="3"/>
  <c r="AZ162" i="3"/>
  <c r="AZ170" i="3"/>
  <c r="AZ178" i="3"/>
  <c r="AZ186" i="3"/>
  <c r="AZ194" i="3"/>
  <c r="BA16" i="3"/>
  <c r="AZ16" i="3" s="1"/>
  <c r="BL303" i="3"/>
  <c r="AZ303" i="3" s="1"/>
  <c r="G304" i="3"/>
  <c r="BA306" i="3"/>
  <c r="AZ306" i="3" s="1"/>
  <c r="BL307" i="3"/>
  <c r="AZ307" i="3" s="1"/>
  <c r="G308" i="3"/>
  <c r="BA310" i="3"/>
  <c r="BL311" i="3"/>
  <c r="AZ311" i="3" s="1"/>
  <c r="G312" i="3"/>
  <c r="BA314" i="3"/>
  <c r="AZ314" i="3" s="1"/>
  <c r="BL315" i="3"/>
  <c r="G316" i="3"/>
  <c r="BA318" i="3"/>
  <c r="AZ318" i="3"/>
  <c r="BL319" i="3"/>
  <c r="G320" i="3"/>
  <c r="BA322" i="3"/>
  <c r="AZ322" i="3"/>
  <c r="BL323" i="3"/>
  <c r="AZ323" i="3"/>
  <c r="G324" i="3"/>
  <c r="BA326" i="3"/>
  <c r="AZ326" i="3" s="1"/>
  <c r="BL327" i="3"/>
  <c r="G328" i="3"/>
  <c r="BA330" i="3"/>
  <c r="AZ330" i="3" s="1"/>
  <c r="BL331" i="3"/>
  <c r="G332" i="3"/>
  <c r="BA334" i="3"/>
  <c r="AZ334" i="3" s="1"/>
  <c r="BL335" i="3"/>
  <c r="AZ335" i="3" s="1"/>
  <c r="G336" i="3"/>
  <c r="BA338" i="3"/>
  <c r="AZ338" i="3" s="1"/>
  <c r="BL339" i="3"/>
  <c r="AZ339" i="3" s="1"/>
  <c r="G340" i="3"/>
  <c r="BL343" i="3"/>
  <c r="G344" i="3"/>
  <c r="G348" i="3"/>
  <c r="G355" i="3"/>
  <c r="AZ209" i="3"/>
  <c r="AZ218" i="3"/>
  <c r="AZ319" i="3"/>
  <c r="G342" i="3"/>
  <c r="BL345" i="3"/>
  <c r="AZ345" i="3" s="1"/>
  <c r="G346" i="3"/>
  <c r="AZ348" i="3"/>
  <c r="BL349" i="3"/>
  <c r="AZ349" i="3" s="1"/>
  <c r="BL352" i="3"/>
  <c r="AZ352" i="3" s="1"/>
  <c r="G353" i="3"/>
  <c r="BA357" i="3"/>
  <c r="AZ357" i="3" s="1"/>
  <c r="BL358" i="3"/>
  <c r="AZ358" i="3" s="1"/>
  <c r="G359" i="3"/>
  <c r="BA361" i="3"/>
  <c r="AZ361" i="3" s="1"/>
  <c r="BL362" i="3"/>
  <c r="G363" i="3"/>
  <c r="BA365" i="3"/>
  <c r="AZ365" i="3" s="1"/>
  <c r="BL366" i="3"/>
  <c r="AZ366" i="3" s="1"/>
  <c r="G367" i="3"/>
  <c r="BA369" i="3"/>
  <c r="AZ369" i="3"/>
  <c r="BL370" i="3"/>
  <c r="G371" i="3"/>
  <c r="BA373" i="3"/>
  <c r="AZ373" i="3"/>
  <c r="BL374" i="3"/>
  <c r="AZ374" i="3"/>
  <c r="G375" i="3"/>
  <c r="BA377" i="3"/>
  <c r="AZ377" i="3" s="1"/>
  <c r="AZ229" i="3"/>
  <c r="AZ241" i="3"/>
  <c r="AZ245" i="3"/>
  <c r="AZ269" i="3"/>
  <c r="AZ273" i="3"/>
  <c r="AZ370" i="3"/>
  <c r="BA379" i="3"/>
  <c r="AZ379" i="3" s="1"/>
  <c r="BL380" i="3"/>
  <c r="AZ380" i="3" s="1"/>
  <c r="G381" i="3"/>
  <c r="BA383" i="3"/>
  <c r="BL384" i="3"/>
  <c r="G385" i="3"/>
  <c r="BA387" i="3"/>
  <c r="AZ387" i="3" s="1"/>
  <c r="BL388" i="3"/>
  <c r="G389" i="3"/>
  <c r="BA391" i="3"/>
  <c r="AZ391" i="3" s="1"/>
  <c r="BL392" i="3"/>
  <c r="G393" i="3"/>
  <c r="AZ275" i="3"/>
  <c r="AZ283" i="3"/>
  <c r="AZ291" i="3"/>
  <c r="AZ299" i="3"/>
  <c r="BO5" i="3"/>
  <c r="BJ5" i="3"/>
  <c r="BF5" i="3"/>
  <c r="AZ309" i="3"/>
  <c r="AZ317" i="3"/>
  <c r="AZ325" i="3"/>
  <c r="AZ333" i="3"/>
  <c r="AZ341" i="3"/>
  <c r="AC5" i="3"/>
  <c r="G548" i="3"/>
  <c r="G520" i="3"/>
  <c r="BS5" i="3"/>
  <c r="BN5" i="3"/>
  <c r="BK5" i="3"/>
  <c r="BG5" i="3"/>
  <c r="BC5" i="3"/>
  <c r="G17" i="3"/>
  <c r="BA17" i="3"/>
  <c r="AZ356" i="3"/>
  <c r="AZ364" i="3"/>
  <c r="BA15" i="3"/>
  <c r="BR5" i="3"/>
  <c r="AZ384" i="3"/>
  <c r="AZ396" i="3"/>
  <c r="AZ394" i="3"/>
  <c r="G509" i="3"/>
  <c r="AZ390" i="3"/>
  <c r="N4" i="43"/>
  <c r="F36" i="43"/>
  <c r="F81" i="43"/>
  <c r="H83" i="43" s="1"/>
  <c r="H113" i="43"/>
  <c r="N7" i="43"/>
  <c r="F70" i="43" s="1"/>
  <c r="M6" i="43"/>
  <c r="M11" i="43"/>
  <c r="E17" i="43"/>
  <c r="F39" i="43"/>
  <c r="I17" i="43"/>
  <c r="F35" i="43"/>
  <c r="J17" i="43"/>
  <c r="F6" i="1"/>
  <c r="U17" i="39"/>
  <c r="S14" i="35"/>
  <c r="U35" i="21"/>
  <c r="U10" i="21"/>
  <c r="G10" i="1"/>
  <c r="F48" i="9"/>
  <c r="O52" i="9" s="1"/>
  <c r="W37" i="37"/>
  <c r="W44" i="34"/>
  <c r="AC44" i="34"/>
  <c r="S15" i="37"/>
  <c r="U12" i="40"/>
  <c r="AA12" i="40"/>
  <c r="J37" i="33"/>
  <c r="W37" i="33" s="1"/>
  <c r="AC17" i="34"/>
  <c r="F106" i="33"/>
  <c r="G106" i="33" s="1"/>
  <c r="H106" i="33" s="1"/>
  <c r="I106" i="33" s="1"/>
  <c r="J106" i="33" s="1"/>
  <c r="K106" i="33" s="1"/>
  <c r="L106" i="33" s="1"/>
  <c r="M106" i="33" s="1"/>
  <c r="J34" i="33"/>
  <c r="W34" i="33" s="1"/>
  <c r="F33" i="34"/>
  <c r="S33" i="34" s="1"/>
  <c r="W12" i="36"/>
  <c r="H20" i="36"/>
  <c r="U20" i="36" s="1"/>
  <c r="J20" i="36"/>
  <c r="W20" i="36" s="1"/>
  <c r="W24" i="36"/>
  <c r="J27" i="36"/>
  <c r="W27" i="36" s="1"/>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AZ386" i="3"/>
  <c r="C40" i="11"/>
  <c r="AZ215" i="3"/>
  <c r="AZ227" i="3"/>
  <c r="AZ240" i="3"/>
  <c r="AZ243" i="3"/>
  <c r="AZ268" i="3"/>
  <c r="AZ271" i="3"/>
  <c r="AZ288" i="3"/>
  <c r="AZ117" i="3"/>
  <c r="AZ133" i="3"/>
  <c r="AZ45" i="3"/>
  <c r="AZ50" i="3"/>
  <c r="AZ61" i="3"/>
  <c r="AZ69" i="3"/>
  <c r="AZ82" i="3"/>
  <c r="AZ102" i="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H86" i="43"/>
  <c r="H87" i="43"/>
  <c r="K9" i="1"/>
  <c r="M29" i="82"/>
  <c r="M29" i="78"/>
  <c r="L47" i="78"/>
  <c r="F7" i="82"/>
  <c r="L48" i="78"/>
  <c r="F43" i="82"/>
  <c r="F43" i="78"/>
  <c r="F7" i="78"/>
  <c r="G77" i="77" l="1"/>
  <c r="H79" i="77"/>
  <c r="BL18" i="3"/>
  <c r="G24" i="3"/>
  <c r="G26" i="3"/>
  <c r="BA30" i="3"/>
  <c r="BA32" i="3"/>
  <c r="G14" i="3"/>
  <c r="F71" i="82"/>
  <c r="C6" i="82"/>
  <c r="C5" i="82" s="1"/>
  <c r="F50" i="82"/>
  <c r="C49" i="82" s="1"/>
  <c r="C48" i="82" s="1"/>
  <c r="M7" i="82"/>
  <c r="M10" i="1"/>
  <c r="W27" i="39"/>
  <c r="F71" i="78"/>
  <c r="C6" i="78"/>
  <c r="C5" i="78" s="1"/>
  <c r="F50" i="78"/>
  <c r="C49" i="78" s="1"/>
  <c r="C48" i="78" s="1"/>
  <c r="M7" i="78"/>
  <c r="M9" i="1"/>
  <c r="O9" i="1" s="1"/>
  <c r="P9" i="1" s="1"/>
  <c r="M8" i="1"/>
  <c r="O8" i="1" s="1"/>
  <c r="P8" i="1" s="1"/>
  <c r="G20" i="43"/>
  <c r="C20" i="43" s="1"/>
  <c r="F48" i="43"/>
  <c r="H48" i="43" s="1"/>
  <c r="H73" i="43"/>
  <c r="H74" i="43"/>
  <c r="L58" i="78"/>
  <c r="N59" i="78"/>
  <c r="J57" i="78"/>
  <c r="J55" i="78" s="1"/>
  <c r="J58" i="78" s="1"/>
  <c r="Q50" i="78" s="1"/>
  <c r="I54" i="78"/>
  <c r="F7" i="1"/>
  <c r="G7" i="1" s="1"/>
  <c r="C10" i="39"/>
  <c r="U43" i="21"/>
  <c r="C25" i="39"/>
  <c r="C15" i="39"/>
  <c r="AC44" i="21"/>
  <c r="W44" i="21"/>
  <c r="W46" i="21"/>
  <c r="AC46" i="21"/>
  <c r="F44" i="21"/>
  <c r="AA44" i="21" s="1"/>
  <c r="G38" i="3"/>
  <c r="BL37" i="3"/>
  <c r="G37" i="3"/>
  <c r="G39" i="3"/>
  <c r="BL36" i="3"/>
  <c r="BL35" i="3"/>
  <c r="G36" i="3"/>
  <c r="G35" i="3"/>
  <c r="BA35" i="3"/>
  <c r="G25" i="3"/>
  <c r="BL26" i="3"/>
  <c r="G27" i="3"/>
  <c r="BL33" i="3"/>
  <c r="G31" i="3"/>
  <c r="G33" i="3"/>
  <c r="G23" i="3"/>
  <c r="BA31" i="3"/>
  <c r="AZ31" i="3" s="1"/>
  <c r="BA33" i="3"/>
  <c r="BA27" i="3"/>
  <c r="AZ27" i="3" s="1"/>
  <c r="BA28" i="3"/>
  <c r="AZ28" i="3" s="1"/>
  <c r="BA29" i="3"/>
  <c r="AZ29" i="3" s="1"/>
  <c r="BA23" i="3"/>
  <c r="BL23" i="3"/>
  <c r="BL25" i="3"/>
  <c r="G18" i="3"/>
  <c r="BL20" i="3"/>
  <c r="G21" i="3"/>
  <c r="BA18" i="3"/>
  <c r="AZ18" i="3" s="1"/>
  <c r="BA20" i="3"/>
  <c r="F29" i="6"/>
  <c r="A15" i="62"/>
  <c r="B61" i="72" s="1"/>
  <c r="AZ557" i="3"/>
  <c r="AZ521" i="3"/>
  <c r="AZ512" i="3"/>
  <c r="G28" i="6"/>
  <c r="AZ495" i="3"/>
  <c r="AZ503" i="3"/>
  <c r="AZ520" i="3"/>
  <c r="AZ523" i="3"/>
  <c r="AZ531" i="3"/>
  <c r="AZ539" i="3"/>
  <c r="AZ559" i="3"/>
  <c r="AZ567" i="3"/>
  <c r="AZ587" i="3"/>
  <c r="AZ510" i="3"/>
  <c r="U11" i="36"/>
  <c r="AB11" i="36"/>
  <c r="W45" i="39"/>
  <c r="AC45" i="39"/>
  <c r="BA585" i="3"/>
  <c r="H13" i="21"/>
  <c r="J13" i="21"/>
  <c r="AC13" i="21" s="1"/>
  <c r="J27" i="21"/>
  <c r="W27" i="21" s="1"/>
  <c r="F27" i="21"/>
  <c r="AA27" i="21" s="1"/>
  <c r="H31" i="21"/>
  <c r="J31" i="21"/>
  <c r="AC31" i="21" s="1"/>
  <c r="J45" i="21"/>
  <c r="W45" i="21" s="1"/>
  <c r="F45" i="21"/>
  <c r="AA45" i="21" s="1"/>
  <c r="B74" i="43"/>
  <c r="C27" i="39"/>
  <c r="AB35" i="33"/>
  <c r="U35" i="33"/>
  <c r="W16" i="36"/>
  <c r="AC16" i="36"/>
  <c r="J25" i="36"/>
  <c r="W25" i="36" s="1"/>
  <c r="H25" i="36"/>
  <c r="AB25" i="36" s="1"/>
  <c r="F32" i="36"/>
  <c r="J32" i="36"/>
  <c r="S31" i="36"/>
  <c r="AA31" i="36"/>
  <c r="H27" i="37"/>
  <c r="F27" i="37"/>
  <c r="AA27" i="37" s="1"/>
  <c r="J27" i="37"/>
  <c r="AC27" i="37" s="1"/>
  <c r="J39" i="37"/>
  <c r="AC39" i="37" s="1"/>
  <c r="F39" i="37"/>
  <c r="H39" i="37"/>
  <c r="AB40" i="40"/>
  <c r="U40" i="40"/>
  <c r="BA568" i="3"/>
  <c r="AZ568" i="3" s="1"/>
  <c r="BA565" i="3"/>
  <c r="BL563" i="3"/>
  <c r="AZ563" i="3" s="1"/>
  <c r="BL561" i="3"/>
  <c r="BA561" i="3"/>
  <c r="BL556" i="3"/>
  <c r="BA556" i="3"/>
  <c r="AZ556" i="3" s="1"/>
  <c r="BA538" i="3"/>
  <c r="AZ538" i="3" s="1"/>
  <c r="BL536" i="3"/>
  <c r="AZ536" i="3" s="1"/>
  <c r="BL534" i="3"/>
  <c r="BA534" i="3"/>
  <c r="AZ534" i="3" s="1"/>
  <c r="BL532" i="3"/>
  <c r="AZ532" i="3" s="1"/>
  <c r="BA530" i="3"/>
  <c r="AZ530" i="3" s="1"/>
  <c r="BL528" i="3"/>
  <c r="BL526" i="3"/>
  <c r="AZ526" i="3" s="1"/>
  <c r="BL524" i="3"/>
  <c r="AZ524" i="3" s="1"/>
  <c r="BA522" i="3"/>
  <c r="AZ522" i="3" s="1"/>
  <c r="BA518" i="3"/>
  <c r="AZ518" i="3" s="1"/>
  <c r="BA515" i="3"/>
  <c r="AZ515" i="3" s="1"/>
  <c r="BA511" i="3"/>
  <c r="AZ511" i="3" s="1"/>
  <c r="BA505" i="3"/>
  <c r="AZ505" i="3" s="1"/>
  <c r="BA501" i="3"/>
  <c r="AZ501" i="3" s="1"/>
  <c r="BA497" i="3"/>
  <c r="AZ497" i="3" s="1"/>
  <c r="BA494" i="3"/>
  <c r="AZ494" i="3" s="1"/>
  <c r="H82" i="43"/>
  <c r="H50" i="43"/>
  <c r="H75" i="43"/>
  <c r="AC35" i="21"/>
  <c r="U36" i="40"/>
  <c r="BL493" i="3"/>
  <c r="AZ327" i="3"/>
  <c r="AZ310" i="3"/>
  <c r="AZ371" i="3"/>
  <c r="AZ336" i="3"/>
  <c r="AZ329" i="3"/>
  <c r="AZ321" i="3"/>
  <c r="AZ304" i="3"/>
  <c r="U40" i="39"/>
  <c r="AA25" i="21"/>
  <c r="AB38" i="21"/>
  <c r="AB37" i="34"/>
  <c r="W26" i="37"/>
  <c r="U33" i="37"/>
  <c r="W14" i="37"/>
  <c r="U43" i="33"/>
  <c r="AA41" i="34"/>
  <c r="H31" i="40"/>
  <c r="U31" i="40" s="1"/>
  <c r="U32" i="33"/>
  <c r="S21" i="40"/>
  <c r="BL507" i="3"/>
  <c r="AZ507" i="3" s="1"/>
  <c r="BL513" i="3"/>
  <c r="AZ513" i="3" s="1"/>
  <c r="BL525" i="3"/>
  <c r="BL529" i="3"/>
  <c r="BL533" i="3"/>
  <c r="BL537" i="3"/>
  <c r="BL541" i="3"/>
  <c r="AZ553" i="3"/>
  <c r="AC13" i="36"/>
  <c r="AA14" i="33"/>
  <c r="H13" i="37"/>
  <c r="S13" i="35"/>
  <c r="AA13" i="35"/>
  <c r="AB46" i="33"/>
  <c r="U46" i="33"/>
  <c r="F13" i="36"/>
  <c r="S13" i="36" s="1"/>
  <c r="H32" i="36"/>
  <c r="AB32" i="36" s="1"/>
  <c r="U46" i="34"/>
  <c r="AB46" i="34"/>
  <c r="S14" i="34"/>
  <c r="AA14" i="34"/>
  <c r="U45" i="33"/>
  <c r="AB45" i="33"/>
  <c r="AB13" i="33"/>
  <c r="U13" i="33"/>
  <c r="H29" i="21"/>
  <c r="U29" i="21" s="1"/>
  <c r="AA44" i="34"/>
  <c r="S44" i="34"/>
  <c r="AA42" i="34"/>
  <c r="S8" i="33"/>
  <c r="W40" i="33"/>
  <c r="S38" i="33"/>
  <c r="U42" i="34"/>
  <c r="U34" i="21"/>
  <c r="AB39" i="40"/>
  <c r="U33" i="33"/>
  <c r="AC31" i="36"/>
  <c r="AC36" i="39"/>
  <c r="W36" i="39"/>
  <c r="AC41" i="33"/>
  <c r="AC8" i="34"/>
  <c r="W8" i="34"/>
  <c r="S12" i="34"/>
  <c r="AA12" i="34"/>
  <c r="AA35" i="34"/>
  <c r="S35" i="34"/>
  <c r="AB34" i="35"/>
  <c r="U34" i="35"/>
  <c r="J12" i="33"/>
  <c r="H12" i="33"/>
  <c r="H14" i="33"/>
  <c r="U14" i="33" s="1"/>
  <c r="J14" i="33"/>
  <c r="H44" i="33"/>
  <c r="F44" i="33"/>
  <c r="H13" i="34"/>
  <c r="F13" i="34"/>
  <c r="AA13" i="34" s="1"/>
  <c r="J31" i="34"/>
  <c r="F31" i="34"/>
  <c r="S31" i="34" s="1"/>
  <c r="H47" i="34"/>
  <c r="U47" i="34" s="1"/>
  <c r="J47" i="34"/>
  <c r="J25" i="35"/>
  <c r="W25" i="35" s="1"/>
  <c r="H25" i="35"/>
  <c r="AB25" i="35" s="1"/>
  <c r="AC22" i="35"/>
  <c r="W22" i="35"/>
  <c r="U12" i="36"/>
  <c r="AB12" i="36"/>
  <c r="H25" i="37"/>
  <c r="J25" i="37"/>
  <c r="F31" i="39"/>
  <c r="J31" i="39"/>
  <c r="AA34" i="39"/>
  <c r="S34" i="39"/>
  <c r="W9" i="40"/>
  <c r="AC9" i="40"/>
  <c r="AB34" i="40"/>
  <c r="U34" i="40"/>
  <c r="H13" i="40"/>
  <c r="U13" i="40" s="1"/>
  <c r="F13" i="40"/>
  <c r="AA13" i="40" s="1"/>
  <c r="AB36" i="39"/>
  <c r="U36" i="39"/>
  <c r="BA584" i="3"/>
  <c r="AZ584" i="3" s="1"/>
  <c r="BL582" i="3"/>
  <c r="BL581" i="3"/>
  <c r="BA581" i="3"/>
  <c r="BL580" i="3"/>
  <c r="BA580" i="3"/>
  <c r="BL579" i="3"/>
  <c r="AZ579" i="3" s="1"/>
  <c r="BA578" i="3"/>
  <c r="AZ578" i="3" s="1"/>
  <c r="BA577" i="3"/>
  <c r="AZ577" i="3" s="1"/>
  <c r="BA576" i="3"/>
  <c r="AZ576" i="3" s="1"/>
  <c r="BL574" i="3"/>
  <c r="BA574" i="3"/>
  <c r="AZ574" i="3" s="1"/>
  <c r="BA573" i="3"/>
  <c r="BL572" i="3"/>
  <c r="BA572" i="3"/>
  <c r="AZ572" i="3" s="1"/>
  <c r="BL571" i="3"/>
  <c r="AZ571" i="3" s="1"/>
  <c r="BA570" i="3"/>
  <c r="AZ570" i="3" s="1"/>
  <c r="BA555" i="3"/>
  <c r="AZ555" i="3" s="1"/>
  <c r="BL554" i="3"/>
  <c r="AZ554" i="3" s="1"/>
  <c r="BA552" i="3"/>
  <c r="AZ552" i="3" s="1"/>
  <c r="BA551" i="3"/>
  <c r="BL550" i="3"/>
  <c r="BA550" i="3"/>
  <c r="BA549" i="3"/>
  <c r="AZ549" i="3" s="1"/>
  <c r="BL548" i="3"/>
  <c r="AZ548" i="3" s="1"/>
  <c r="BA546" i="3"/>
  <c r="AZ546" i="3" s="1"/>
  <c r="BA545" i="3"/>
  <c r="AZ545" i="3" s="1"/>
  <c r="BL544" i="3"/>
  <c r="BL542" i="3"/>
  <c r="BA542" i="3"/>
  <c r="AZ542" i="3" s="1"/>
  <c r="AZ362" i="3"/>
  <c r="AZ528" i="3"/>
  <c r="AZ544" i="3"/>
  <c r="AZ582" i="3"/>
  <c r="S29" i="35"/>
  <c r="AA29" i="35"/>
  <c r="AB33" i="35"/>
  <c r="U33" i="35"/>
  <c r="AB23" i="40"/>
  <c r="U23" i="40"/>
  <c r="AB8" i="35"/>
  <c r="U8" i="35"/>
  <c r="AC28" i="36"/>
  <c r="W28" i="36"/>
  <c r="J33" i="40"/>
  <c r="F33" i="40"/>
  <c r="AA33" i="40" s="1"/>
  <c r="F38" i="40"/>
  <c r="H38" i="40"/>
  <c r="J40" i="40"/>
  <c r="F40" i="40"/>
  <c r="BA569" i="3"/>
  <c r="AZ569" i="3" s="1"/>
  <c r="BL566" i="3"/>
  <c r="BA566" i="3"/>
  <c r="AZ566" i="3" s="1"/>
  <c r="BL564" i="3"/>
  <c r="BA564" i="3"/>
  <c r="AZ564" i="3" s="1"/>
  <c r="BA562" i="3"/>
  <c r="AZ562" i="3" s="1"/>
  <c r="BA560" i="3"/>
  <c r="AZ560" i="3" s="1"/>
  <c r="BL558" i="3"/>
  <c r="AZ558" i="3" s="1"/>
  <c r="BA541" i="3"/>
  <c r="BA537" i="3"/>
  <c r="BA533" i="3"/>
  <c r="BA529" i="3"/>
  <c r="BA525" i="3"/>
  <c r="BA519" i="3"/>
  <c r="AZ519" i="3" s="1"/>
  <c r="BL516" i="3"/>
  <c r="AZ516" i="3" s="1"/>
  <c r="BL514" i="3"/>
  <c r="BA514" i="3"/>
  <c r="AZ514" i="3" s="1"/>
  <c r="BL506" i="3"/>
  <c r="BA506" i="3"/>
  <c r="AZ506" i="3" s="1"/>
  <c r="BL504" i="3"/>
  <c r="AZ504" i="3" s="1"/>
  <c r="BA500" i="3"/>
  <c r="AZ500" i="3" s="1"/>
  <c r="BL498" i="3"/>
  <c r="AZ498" i="3" s="1"/>
  <c r="BL496" i="3"/>
  <c r="AZ496" i="3" s="1"/>
  <c r="BA493" i="3"/>
  <c r="AZ493" i="3" s="1"/>
  <c r="BL565" i="3"/>
  <c r="AZ565" i="3" s="1"/>
  <c r="BL573" i="3"/>
  <c r="AZ573" i="3" s="1"/>
  <c r="BL583" i="3"/>
  <c r="AZ583" i="3" s="1"/>
  <c r="BL586" i="3"/>
  <c r="BL585" i="3"/>
  <c r="AZ585" i="3" s="1"/>
  <c r="G574" i="3"/>
  <c r="G558" i="3"/>
  <c r="G398" i="3"/>
  <c r="G399" i="3"/>
  <c r="BL399" i="3"/>
  <c r="BA400" i="3"/>
  <c r="AZ400" i="3" s="1"/>
  <c r="BL402" i="3"/>
  <c r="AZ402" i="3" s="1"/>
  <c r="G405" i="3"/>
  <c r="BL405" i="3"/>
  <c r="G408" i="3"/>
  <c r="BL408" i="3"/>
  <c r="BA409" i="3"/>
  <c r="AZ409" i="3" s="1"/>
  <c r="BA410" i="3"/>
  <c r="AZ410" i="3" s="1"/>
  <c r="BA411" i="3"/>
  <c r="AZ411" i="3" s="1"/>
  <c r="G414" i="3"/>
  <c r="G415" i="3"/>
  <c r="BL415" i="3"/>
  <c r="BA416" i="3"/>
  <c r="AZ416" i="3" s="1"/>
  <c r="BL418" i="3"/>
  <c r="AZ418" i="3" s="1"/>
  <c r="G421" i="3"/>
  <c r="BL421" i="3"/>
  <c r="G424" i="3"/>
  <c r="G425" i="3"/>
  <c r="BL425" i="3"/>
  <c r="BA426" i="3"/>
  <c r="AZ426" i="3" s="1"/>
  <c r="BA427" i="3"/>
  <c r="AZ427" i="3" s="1"/>
  <c r="G430" i="3"/>
  <c r="G431" i="3"/>
  <c r="BL431" i="3"/>
  <c r="BA432" i="3"/>
  <c r="AZ432" i="3" s="1"/>
  <c r="BL434" i="3"/>
  <c r="AZ434" i="3" s="1"/>
  <c r="G437" i="3"/>
  <c r="BL437" i="3"/>
  <c r="G440" i="3"/>
  <c r="G441" i="3"/>
  <c r="BL441" i="3"/>
  <c r="BL443" i="3"/>
  <c r="AZ443" i="3" s="1"/>
  <c r="BA444" i="3"/>
  <c r="AZ444" i="3" s="1"/>
  <c r="BL446" i="3"/>
  <c r="AZ446" i="3" s="1"/>
  <c r="BA447" i="3"/>
  <c r="AZ447" i="3" s="1"/>
  <c r="BA448" i="3"/>
  <c r="AZ448" i="3" s="1"/>
  <c r="BL450" i="3"/>
  <c r="AZ450" i="3" s="1"/>
  <c r="G453" i="3"/>
  <c r="BL453" i="3"/>
  <c r="G456" i="3"/>
  <c r="G457" i="3"/>
  <c r="BL457" i="3"/>
  <c r="BL459" i="3"/>
  <c r="AZ459" i="3" s="1"/>
  <c r="BA460" i="3"/>
  <c r="AZ460" i="3" s="1"/>
  <c r="AZ462" i="3"/>
  <c r="BL15" i="3"/>
  <c r="AZ15" i="3" s="1"/>
  <c r="AZ399" i="3"/>
  <c r="AZ403" i="3"/>
  <c r="AZ405" i="3"/>
  <c r="AZ406" i="3"/>
  <c r="AZ415" i="3"/>
  <c r="AZ419" i="3"/>
  <c r="AZ421" i="3"/>
  <c r="AZ422" i="3"/>
  <c r="AZ425" i="3"/>
  <c r="AZ431" i="3"/>
  <c r="AZ435" i="3"/>
  <c r="AZ438" i="3"/>
  <c r="AZ442" i="3"/>
  <c r="AZ451" i="3"/>
  <c r="AZ453" i="3"/>
  <c r="AZ454" i="3"/>
  <c r="AZ458" i="3"/>
  <c r="BL461" i="3"/>
  <c r="AZ461" i="3" s="1"/>
  <c r="G464" i="3"/>
  <c r="G465" i="3"/>
  <c r="BL465" i="3"/>
  <c r="BA466" i="3"/>
  <c r="AZ466" i="3" s="1"/>
  <c r="BA467" i="3"/>
  <c r="AZ467" i="3" s="1"/>
  <c r="BL469" i="3"/>
  <c r="AZ469" i="3" s="1"/>
  <c r="BA470" i="3"/>
  <c r="AZ470" i="3" s="1"/>
  <c r="BA471" i="3"/>
  <c r="AZ471" i="3" s="1"/>
  <c r="BA472" i="3"/>
  <c r="AZ472" i="3" s="1"/>
  <c r="G475" i="3"/>
  <c r="G476" i="3"/>
  <c r="BL476" i="3"/>
  <c r="G479" i="3"/>
  <c r="G480" i="3"/>
  <c r="BL480" i="3"/>
  <c r="G483" i="3"/>
  <c r="BA484" i="3"/>
  <c r="AZ484" i="3" s="1"/>
  <c r="BA485" i="3"/>
  <c r="AZ485" i="3" s="1"/>
  <c r="BL487" i="3"/>
  <c r="AZ487" i="3" s="1"/>
  <c r="BA488" i="3"/>
  <c r="AZ488" i="3" s="1"/>
  <c r="BA489" i="3"/>
  <c r="AZ489" i="3" s="1"/>
  <c r="BL491" i="3"/>
  <c r="AZ491" i="3" s="1"/>
  <c r="BA492" i="3"/>
  <c r="AZ492" i="3" s="1"/>
  <c r="G313" i="3"/>
  <c r="BA315" i="3"/>
  <c r="AZ315" i="3" s="1"/>
  <c r="BL316" i="3"/>
  <c r="G318" i="3"/>
  <c r="G329" i="3"/>
  <c r="BA331" i="3"/>
  <c r="AZ331" i="3" s="1"/>
  <c r="BL332" i="3"/>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G208" i="3"/>
  <c r="BL208" i="3"/>
  <c r="G211" i="3"/>
  <c r="BL211" i="3"/>
  <c r="BA212" i="3"/>
  <c r="AZ212" i="3" s="1"/>
  <c r="BL214" i="3"/>
  <c r="AZ214" i="3" s="1"/>
  <c r="G217" i="3"/>
  <c r="BL217" i="3"/>
  <c r="G220" i="3"/>
  <c r="BL220" i="3"/>
  <c r="BA221" i="3"/>
  <c r="AZ221" i="3" s="1"/>
  <c r="BA222" i="3"/>
  <c r="AZ222" i="3" s="1"/>
  <c r="BA223" i="3"/>
  <c r="AZ223" i="3" s="1"/>
  <c r="G226" i="3"/>
  <c r="BL226" i="3"/>
  <c r="G229" i="3"/>
  <c r="G230" i="3"/>
  <c r="BL230" i="3"/>
  <c r="BA231" i="3"/>
  <c r="AZ231" i="3" s="1"/>
  <c r="BA232" i="3"/>
  <c r="AZ232" i="3" s="1"/>
  <c r="BA233" i="3"/>
  <c r="AZ233" i="3" s="1"/>
  <c r="BL235" i="3"/>
  <c r="AZ235" i="3" s="1"/>
  <c r="BA236" i="3"/>
  <c r="AZ236" i="3" s="1"/>
  <c r="BA237" i="3"/>
  <c r="AZ237" i="3" s="1"/>
  <c r="G240" i="3"/>
  <c r="G241" i="3"/>
  <c r="G242" i="3"/>
  <c r="BL242" i="3"/>
  <c r="G245" i="3"/>
  <c r="G246" i="3"/>
  <c r="BL246" i="3"/>
  <c r="BA247" i="3"/>
  <c r="AZ247" i="3" s="1"/>
  <c r="BA248" i="3"/>
  <c r="AZ248" i="3" s="1"/>
  <c r="BA249" i="3"/>
  <c r="AZ249" i="3" s="1"/>
  <c r="BL251" i="3"/>
  <c r="AZ251" i="3" s="1"/>
  <c r="BA252" i="3"/>
  <c r="AZ252" i="3" s="1"/>
  <c r="BA253" i="3"/>
  <c r="AZ253" i="3" s="1"/>
  <c r="AZ476" i="3"/>
  <c r="AZ477" i="3"/>
  <c r="AZ480" i="3"/>
  <c r="AZ481" i="3"/>
  <c r="AZ316" i="3"/>
  <c r="AZ332" i="3"/>
  <c r="AZ395" i="3"/>
  <c r="AZ208" i="3"/>
  <c r="AZ211" i="3"/>
  <c r="AZ217" i="3"/>
  <c r="AZ220" i="3"/>
  <c r="AZ226" i="3"/>
  <c r="AZ230" i="3"/>
  <c r="AZ242" i="3"/>
  <c r="AZ246"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AZ270" i="3" s="1"/>
  <c r="G273" i="3"/>
  <c r="G274" i="3"/>
  <c r="BL274" i="3"/>
  <c r="AZ274" i="3" s="1"/>
  <c r="G277" i="3"/>
  <c r="BL277" i="3"/>
  <c r="AZ277" i="3" s="1"/>
  <c r="BA278" i="3"/>
  <c r="AZ278" i="3" s="1"/>
  <c r="BA279" i="3"/>
  <c r="AZ279" i="3" s="1"/>
  <c r="BA280" i="3"/>
  <c r="AZ280" i="3" s="1"/>
  <c r="G283" i="3"/>
  <c r="G284" i="3"/>
  <c r="BL284" i="3"/>
  <c r="AZ284" i="3" s="1"/>
  <c r="BA285" i="3"/>
  <c r="AZ285" i="3" s="1"/>
  <c r="BL287" i="3"/>
  <c r="AZ287" i="3" s="1"/>
  <c r="G290" i="3"/>
  <c r="BL290" i="3"/>
  <c r="AZ290" i="3" s="1"/>
  <c r="G293" i="3"/>
  <c r="BL293" i="3"/>
  <c r="AZ293" i="3" s="1"/>
  <c r="BA294" i="3"/>
  <c r="AZ294" i="3" s="1"/>
  <c r="BA295" i="3"/>
  <c r="AZ295" i="3" s="1"/>
  <c r="BA296" i="3"/>
  <c r="AZ296" i="3" s="1"/>
  <c r="G299" i="3"/>
  <c r="G300" i="3"/>
  <c r="BL300" i="3"/>
  <c r="AZ300" i="3" s="1"/>
  <c r="BA301" i="3"/>
  <c r="AZ301" i="3" s="1"/>
  <c r="BA302" i="3"/>
  <c r="AZ302" i="3" s="1"/>
  <c r="BA113" i="3"/>
  <c r="AZ113" i="3" s="1"/>
  <c r="BA114" i="3"/>
  <c r="AZ114" i="3" s="1"/>
  <c r="BL115" i="3"/>
  <c r="AZ115" i="3" s="1"/>
  <c r="G119" i="3"/>
  <c r="G122" i="3"/>
  <c r="BL122" i="3"/>
  <c r="AZ122" i="3" s="1"/>
  <c r="BA124" i="3"/>
  <c r="AZ124" i="3" s="1"/>
  <c r="BL125" i="3"/>
  <c r="AZ125" i="3" s="1"/>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AZ153" i="3" s="1"/>
  <c r="G156" i="3"/>
  <c r="BL158" i="3"/>
  <c r="AZ158" i="3" s="1"/>
  <c r="BA160" i="3"/>
  <c r="AZ160" i="3" s="1"/>
  <c r="BL161" i="3"/>
  <c r="AZ161" i="3" s="1"/>
  <c r="G164" i="3"/>
  <c r="BL166" i="3"/>
  <c r="AZ166" i="3" s="1"/>
  <c r="BA168" i="3"/>
  <c r="AZ168" i="3" s="1"/>
  <c r="BL169" i="3"/>
  <c r="AZ169" i="3" s="1"/>
  <c r="G172" i="3"/>
  <c r="BL174" i="3"/>
  <c r="AZ174" i="3" s="1"/>
  <c r="BA176" i="3"/>
  <c r="AZ176" i="3" s="1"/>
  <c r="BL177" i="3"/>
  <c r="AZ177" i="3" s="1"/>
  <c r="G180" i="3"/>
  <c r="BL182" i="3"/>
  <c r="AZ182" i="3" s="1"/>
  <c r="BA184" i="3"/>
  <c r="AZ184" i="3" s="1"/>
  <c r="BL185" i="3"/>
  <c r="AZ185" i="3" s="1"/>
  <c r="G188" i="3"/>
  <c r="BL190" i="3"/>
  <c r="AZ190" i="3" s="1"/>
  <c r="BA192" i="3"/>
  <c r="AZ192" i="3" s="1"/>
  <c r="BL193" i="3"/>
  <c r="AZ193" i="3" s="1"/>
  <c r="G196" i="3"/>
  <c r="BL198" i="3"/>
  <c r="AZ198" i="3" s="1"/>
  <c r="G200" i="3"/>
  <c r="BL202" i="3"/>
  <c r="AZ202" i="3" s="1"/>
  <c r="BA204" i="3"/>
  <c r="AZ204" i="3" s="1"/>
  <c r="BA205" i="3"/>
  <c r="AZ205" i="3" s="1"/>
  <c r="BA206" i="3"/>
  <c r="AZ206" i="3" s="1"/>
  <c r="G19" i="3"/>
  <c r="BL19" i="3"/>
  <c r="BL21" i="3"/>
  <c r="AZ21" i="3" s="1"/>
  <c r="BA22" i="3"/>
  <c r="AZ22" i="3" s="1"/>
  <c r="BL24" i="3"/>
  <c r="AZ24" i="3" s="1"/>
  <c r="BA25" i="3"/>
  <c r="AZ25" i="3" s="1"/>
  <c r="G28" i="3"/>
  <c r="G29" i="3"/>
  <c r="G30" i="3"/>
  <c r="BL30" i="3"/>
  <c r="AZ30" i="3" s="1"/>
  <c r="BL32" i="3"/>
  <c r="AZ32" i="3" s="1"/>
  <c r="BA34" i="3"/>
  <c r="AZ34" i="3" s="1"/>
  <c r="BA36" i="3"/>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M100" i="43"/>
  <c r="I100" i="43"/>
  <c r="E100" i="43"/>
  <c r="I20" i="66"/>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s="1"/>
  <c r="B10" i="1"/>
  <c r="E10" i="1" s="1"/>
  <c r="D1" i="66"/>
  <c r="E10" i="66" s="1"/>
  <c r="AZ80" i="3"/>
  <c r="AZ84" i="3"/>
  <c r="AZ88" i="3"/>
  <c r="AZ107" i="3"/>
  <c r="AZ111" i="3"/>
  <c r="K12" i="1"/>
  <c r="M12" i="1" s="1"/>
  <c r="O12" i="1" s="1"/>
  <c r="P12" i="1" s="1"/>
  <c r="S13" i="1"/>
  <c r="AR13" i="1" s="1"/>
  <c r="R13" i="1"/>
  <c r="J51" i="67"/>
  <c r="C42" i="1"/>
  <c r="H100" i="43"/>
  <c r="C30" i="66"/>
  <c r="E26" i="66" s="1"/>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A14" i="21"/>
  <c r="AB8" i="21"/>
  <c r="S8" i="21"/>
  <c r="M3" i="43"/>
  <c r="N10" i="43"/>
  <c r="M1" i="43"/>
  <c r="M8" i="43"/>
  <c r="N8" i="43"/>
  <c r="N9" i="43"/>
  <c r="D120" i="9"/>
  <c r="C18" i="9"/>
  <c r="D18" i="9" s="1"/>
  <c r="F34" i="67"/>
  <c r="F62" i="67" s="1"/>
  <c r="M20" i="67"/>
  <c r="F34" i="15"/>
  <c r="F62" i="15" s="1"/>
  <c r="G13" i="3"/>
  <c r="BA13" i="3"/>
  <c r="E10" i="6"/>
  <c r="BA5" i="3"/>
  <c r="E27" i="6" s="1"/>
  <c r="E11" i="6"/>
  <c r="E61" i="39" s="1"/>
  <c r="BL17" i="3"/>
  <c r="AZ17" i="3" s="1"/>
  <c r="BL13" i="3"/>
  <c r="E65" i="39"/>
  <c r="G30" i="6"/>
  <c r="G31" i="6" s="1"/>
  <c r="J56" i="9"/>
  <c r="J57" i="9" s="1"/>
  <c r="A24" i="51"/>
  <c r="B18" i="72" s="1"/>
  <c r="U29" i="34"/>
  <c r="E14" i="6"/>
  <c r="E64" i="39" s="1"/>
  <c r="E5" i="6"/>
  <c r="D9" i="11" s="1"/>
  <c r="C9" i="11" s="1"/>
  <c r="E32" i="6"/>
  <c r="L19" i="6" s="1"/>
  <c r="G1" i="68"/>
  <c r="K1" i="12"/>
  <c r="F30" i="6"/>
  <c r="F31" i="6" s="1"/>
  <c r="E28" i="6"/>
  <c r="E57" i="40"/>
  <c r="E56" i="40"/>
  <c r="AR12" i="1"/>
  <c r="E19" i="69"/>
  <c r="E19" i="68"/>
  <c r="E19" i="11"/>
  <c r="E1" i="73"/>
  <c r="K1" i="73" s="1"/>
  <c r="G41" i="69"/>
  <c r="G22" i="69"/>
  <c r="G41" i="68"/>
  <c r="G22" i="68"/>
  <c r="G27" i="12"/>
  <c r="G26" i="12"/>
  <c r="G41" i="11"/>
  <c r="G22" i="11"/>
  <c r="G25" i="12"/>
  <c r="C100" i="43"/>
  <c r="E11" i="43"/>
  <c r="E10" i="43"/>
  <c r="E9" i="43"/>
  <c r="E8" i="43"/>
  <c r="C7" i="43" s="1"/>
  <c r="E81" i="43"/>
  <c r="B79" i="43" s="1"/>
  <c r="E48" i="43"/>
  <c r="B46" i="43" s="1"/>
  <c r="E70" i="43"/>
  <c r="B68" i="43" s="1"/>
  <c r="C24" i="43" s="1"/>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58" i="21"/>
  <c r="D58" i="21" s="1"/>
  <c r="C94" i="9"/>
  <c r="C92" i="9"/>
  <c r="H62" i="43"/>
  <c r="H66" i="43"/>
  <c r="H61" i="43"/>
  <c r="H65" i="43"/>
  <c r="H60" i="43"/>
  <c r="H64" i="43"/>
  <c r="H59" i="43"/>
  <c r="H63" i="43"/>
  <c r="H67" i="43"/>
  <c r="H55" i="43"/>
  <c r="H51" i="43"/>
  <c r="H56" i="43"/>
  <c r="H76" i="43"/>
  <c r="H72" i="43"/>
  <c r="H77" i="43"/>
  <c r="L20" i="6"/>
  <c r="E62" i="39"/>
  <c r="E56" i="39"/>
  <c r="E51" i="40"/>
  <c r="B6" i="1"/>
  <c r="E6" i="1" s="1"/>
  <c r="K11" i="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J33" i="21"/>
  <c r="H33" i="21"/>
  <c r="AB33" i="21" s="1"/>
  <c r="F37" i="21"/>
  <c r="AA37" i="21" s="1"/>
  <c r="AA26" i="21"/>
  <c r="AB14" i="21"/>
  <c r="AB46" i="21"/>
  <c r="U40" i="21"/>
  <c r="AB31" i="21"/>
  <c r="U31"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F38" i="67"/>
  <c r="M26" i="67"/>
  <c r="F6" i="67"/>
  <c r="C16" i="82"/>
  <c r="F38" i="15"/>
  <c r="F36" i="15"/>
  <c r="C76" i="67"/>
  <c r="M29" i="67"/>
  <c r="L48" i="15"/>
  <c r="F8" i="67"/>
  <c r="F26" i="15"/>
  <c r="M24" i="67"/>
  <c r="F40" i="67"/>
  <c r="F13" i="67"/>
  <c r="M9" i="67"/>
  <c r="F43" i="15"/>
  <c r="J15" i="67"/>
  <c r="M6" i="15"/>
  <c r="F8" i="15"/>
  <c r="M26" i="15"/>
  <c r="F37" i="67"/>
  <c r="L47" i="15"/>
  <c r="M8" i="67"/>
  <c r="F7" i="83"/>
  <c r="F9" i="15"/>
  <c r="M28" i="15"/>
  <c r="F16" i="67"/>
  <c r="F26" i="67"/>
  <c r="M29" i="83"/>
  <c r="F13" i="15"/>
  <c r="M24" i="15"/>
  <c r="L48" i="67"/>
  <c r="F7" i="15"/>
  <c r="F7" i="67"/>
  <c r="G1" i="73"/>
  <c r="C16" i="78"/>
  <c r="M29" i="15"/>
  <c r="F42" i="67"/>
  <c r="F40" i="15"/>
  <c r="F37" i="15"/>
  <c r="M23" i="15"/>
  <c r="F36" i="67"/>
  <c r="F16" i="15"/>
  <c r="F43" i="67"/>
  <c r="J15" i="15"/>
  <c r="F6" i="15"/>
  <c r="M9" i="15"/>
  <c r="M23" i="67"/>
  <c r="L47" i="67"/>
  <c r="F43" i="83"/>
  <c r="F9" i="67"/>
  <c r="M28" i="67"/>
  <c r="M22" i="67"/>
  <c r="M22" i="15"/>
  <c r="M8" i="15"/>
  <c r="M6" i="67"/>
  <c r="C76" i="15"/>
  <c r="F42" i="15"/>
  <c r="AZ36" i="3" l="1"/>
  <c r="F77" i="77"/>
  <c r="F79" i="77" s="1"/>
  <c r="G79" i="77"/>
  <c r="AZ33" i="3"/>
  <c r="C6" i="83"/>
  <c r="C5" i="83" s="1"/>
  <c r="M7" i="83"/>
  <c r="F50" i="83"/>
  <c r="C49" i="83" s="1"/>
  <c r="C48" i="83" s="1"/>
  <c r="F71" i="83"/>
  <c r="M11" i="1"/>
  <c r="J6" i="82"/>
  <c r="J10" i="82"/>
  <c r="C38" i="82"/>
  <c r="C32" i="82"/>
  <c r="O10" i="1"/>
  <c r="P10" i="1" s="1"/>
  <c r="C66" i="82"/>
  <c r="C60" i="82"/>
  <c r="J6" i="78"/>
  <c r="J10" i="78"/>
  <c r="C38" i="78"/>
  <c r="C32" i="78"/>
  <c r="C66" i="78"/>
  <c r="C60" i="78"/>
  <c r="H52" i="43"/>
  <c r="H49" i="43"/>
  <c r="L56" i="78"/>
  <c r="Q73" i="78"/>
  <c r="Q60" i="78"/>
  <c r="AC15" i="21"/>
  <c r="AZ23" i="3"/>
  <c r="T12" i="1"/>
  <c r="G5" i="3"/>
  <c r="B3" i="3" s="1"/>
  <c r="A3" i="3" s="1"/>
  <c r="AZ20" i="3"/>
  <c r="E4" i="4"/>
  <c r="K4" i="4" s="1"/>
  <c r="B46" i="48" s="1"/>
  <c r="B4" i="72" s="1"/>
  <c r="AA40" i="40"/>
  <c r="S40" i="40"/>
  <c r="AB38" i="40"/>
  <c r="U38" i="40"/>
  <c r="AA31" i="39"/>
  <c r="S31" i="39"/>
  <c r="U25" i="37"/>
  <c r="AB25" i="37"/>
  <c r="AC31" i="34"/>
  <c r="W31" i="34"/>
  <c r="U13" i="34"/>
  <c r="AB13" i="34"/>
  <c r="AB13" i="37"/>
  <c r="U13" i="37"/>
  <c r="AZ541" i="3"/>
  <c r="AZ533" i="3"/>
  <c r="AZ525" i="3"/>
  <c r="S39" i="37"/>
  <c r="AA39" i="37"/>
  <c r="U27" i="37"/>
  <c r="AB27" i="37"/>
  <c r="W40" i="40"/>
  <c r="AC40" i="40"/>
  <c r="AA38" i="40"/>
  <c r="S38" i="40"/>
  <c r="W33" i="40"/>
  <c r="AC33" i="40"/>
  <c r="AZ580" i="3"/>
  <c r="AZ581" i="3"/>
  <c r="AC25" i="37"/>
  <c r="W25" i="37"/>
  <c r="AC47" i="34"/>
  <c r="W47" i="34"/>
  <c r="S44" i="33"/>
  <c r="AA44" i="33"/>
  <c r="U12" i="33"/>
  <c r="AB12" i="33"/>
  <c r="AZ537" i="3"/>
  <c r="AZ529" i="3"/>
  <c r="AZ561" i="3"/>
  <c r="AB39" i="37"/>
  <c r="U39" i="37"/>
  <c r="W32" i="36"/>
  <c r="AC32" i="36"/>
  <c r="L58" i="67"/>
  <c r="L58" i="15"/>
  <c r="Q73" i="15" s="1"/>
  <c r="N59" i="67"/>
  <c r="L59" i="67" s="1"/>
  <c r="J53" i="67"/>
  <c r="I54" i="67"/>
  <c r="N59" i="15"/>
  <c r="I54" i="15"/>
  <c r="AQ13" i="1"/>
  <c r="AZ13" i="3"/>
  <c r="M6" i="1"/>
  <c r="O6" i="1" s="1"/>
  <c r="P6" i="1" s="1"/>
  <c r="F30" i="68"/>
  <c r="C30" i="68" s="1"/>
  <c r="F30" i="11"/>
  <c r="C48" i="11" s="1"/>
  <c r="F28" i="67"/>
  <c r="C28" i="67" s="1"/>
  <c r="F31" i="12"/>
  <c r="F52" i="9"/>
  <c r="M18" i="67"/>
  <c r="F32" i="67"/>
  <c r="F60" i="67" s="1"/>
  <c r="F30" i="69"/>
  <c r="C48" i="69" s="1"/>
  <c r="F32" i="15"/>
  <c r="F60" i="15" s="1"/>
  <c r="M18" i="15"/>
  <c r="F28" i="15"/>
  <c r="E63" i="39"/>
  <c r="E66" i="39" s="1"/>
  <c r="D9" i="69"/>
  <c r="C9" i="69" s="1"/>
  <c r="D19" i="12"/>
  <c r="C19" i="12" s="1"/>
  <c r="E59" i="40"/>
  <c r="D68" i="39"/>
  <c r="D70" i="39" s="1"/>
  <c r="C28" i="15"/>
  <c r="E30" i="6"/>
  <c r="K15" i="1"/>
  <c r="T13" i="1"/>
  <c r="E16" i="6"/>
  <c r="E69" i="3"/>
  <c r="C77" i="9"/>
  <c r="C74" i="9" s="1"/>
  <c r="D9" i="68"/>
  <c r="C9" i="68" s="1"/>
  <c r="K20" i="6"/>
  <c r="S7" i="1" s="1"/>
  <c r="E7" i="70" s="1"/>
  <c r="C24" i="12"/>
  <c r="AA39" i="40"/>
  <c r="S39" i="40"/>
  <c r="S12" i="33"/>
  <c r="AA12" i="33"/>
  <c r="C16" i="43"/>
  <c r="D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Z5" i="3"/>
  <c r="E3" i="6" s="1"/>
  <c r="E31" i="6"/>
  <c r="K24" i="6"/>
  <c r="K14" i="1"/>
  <c r="M14" i="1" s="1"/>
  <c r="O14" i="1" s="1"/>
  <c r="P14" i="1" s="1"/>
  <c r="BL5" i="3"/>
  <c r="C19" i="43"/>
  <c r="J59" i="9"/>
  <c r="J61" i="9" s="1"/>
  <c r="K21" i="6"/>
  <c r="E511" i="3"/>
  <c r="E16" i="3"/>
  <c r="AK6" i="3"/>
  <c r="E434" i="3"/>
  <c r="E306" i="3"/>
  <c r="E296" i="3"/>
  <c r="E262" i="3"/>
  <c r="E136" i="3"/>
  <c r="E236" i="3"/>
  <c r="E269" i="3"/>
  <c r="E89" i="3"/>
  <c r="K26" i="6"/>
  <c r="M26" i="6" s="1"/>
  <c r="I26" i="6" s="1"/>
  <c r="S26" i="6" s="1"/>
  <c r="K22" i="6"/>
  <c r="K19" i="6"/>
  <c r="S6" i="1" s="1"/>
  <c r="AQ6" i="1" s="1"/>
  <c r="K25" i="6"/>
  <c r="M25" i="6" s="1"/>
  <c r="I25" i="6" s="1"/>
  <c r="S25" i="6" s="1"/>
  <c r="K23" i="6"/>
  <c r="E140" i="3"/>
  <c r="E85" i="3"/>
  <c r="E223" i="3"/>
  <c r="E238" i="3"/>
  <c r="E197" i="3"/>
  <c r="E116" i="3"/>
  <c r="E173" i="3"/>
  <c r="E105" i="3"/>
  <c r="E327" i="3"/>
  <c r="E379"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Q7" i="1"/>
  <c r="R22" i="31"/>
  <c r="B21" i="31" s="1"/>
  <c r="B40" i="1"/>
  <c r="F24" i="83" s="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C10" i="15"/>
  <c r="L27" i="6"/>
  <c r="M20" i="6"/>
  <c r="I20" i="6"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M17" i="67"/>
  <c r="M17" i="15"/>
  <c r="F31" i="15"/>
  <c r="F59" i="67"/>
  <c r="F31" i="67"/>
  <c r="F59" i="15"/>
  <c r="C16" i="83"/>
  <c r="C16" i="15"/>
  <c r="C16" i="67"/>
  <c r="O5" i="77" l="1"/>
  <c r="O6" i="77" s="1"/>
  <c r="C11" i="21" s="1"/>
  <c r="I4" i="6"/>
  <c r="J6" i="83"/>
  <c r="J10" i="83"/>
  <c r="O11" i="1"/>
  <c r="P11" i="1" s="1"/>
  <c r="C66" i="83"/>
  <c r="C60" i="83"/>
  <c r="C38" i="83"/>
  <c r="C32" i="83"/>
  <c r="C24" i="83"/>
  <c r="J5" i="82"/>
  <c r="J24" i="82" s="1"/>
  <c r="M24" i="6"/>
  <c r="I24" i="6" s="1"/>
  <c r="S24" i="6" s="1"/>
  <c r="S11" i="1"/>
  <c r="B5" i="62"/>
  <c r="B73" i="72" s="1"/>
  <c r="F24" i="78"/>
  <c r="C24" i="78" s="1"/>
  <c r="F24" i="82"/>
  <c r="J5" i="78"/>
  <c r="J26" i="78" s="1"/>
  <c r="M23" i="6"/>
  <c r="I23" i="6" s="1"/>
  <c r="S23" i="6" s="1"/>
  <c r="S10" i="1"/>
  <c r="K16" i="1"/>
  <c r="C30" i="69"/>
  <c r="C48" i="68"/>
  <c r="M22" i="6"/>
  <c r="I22" i="6" s="1"/>
  <c r="S22" i="6" s="1"/>
  <c r="S9" i="1"/>
  <c r="M21" i="6"/>
  <c r="I21" i="6" s="1"/>
  <c r="S21" i="6" s="1"/>
  <c r="S8" i="1"/>
  <c r="O6" i="3"/>
  <c r="AT6" i="3"/>
  <c r="E314" i="3"/>
  <c r="E247" i="3"/>
  <c r="E201" i="3"/>
  <c r="E431" i="3"/>
  <c r="E579" i="3"/>
  <c r="E122" i="3"/>
  <c r="E148" i="3"/>
  <c r="E156" i="3"/>
  <c r="E196" i="3"/>
  <c r="E244" i="3"/>
  <c r="E368" i="3"/>
  <c r="E453" i="3"/>
  <c r="E549" i="3"/>
  <c r="E536" i="3"/>
  <c r="I6" i="3"/>
  <c r="E568" i="3"/>
  <c r="E397" i="3"/>
  <c r="E151" i="3"/>
  <c r="E229" i="3"/>
  <c r="E396" i="3"/>
  <c r="E569" i="3"/>
  <c r="E53" i="3"/>
  <c r="E239" i="3"/>
  <c r="E509" i="3"/>
  <c r="E516"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388" i="3"/>
  <c r="E555" i="3"/>
  <c r="E574" i="3"/>
  <c r="E410" i="3"/>
  <c r="E359" i="3"/>
  <c r="E337" i="3"/>
  <c r="E285" i="3"/>
  <c r="E143" i="3"/>
  <c r="E97" i="3"/>
  <c r="E353" i="3"/>
  <c r="E385" i="3"/>
  <c r="E495" i="3"/>
  <c r="E518" i="3"/>
  <c r="AN6" i="3"/>
  <c r="AI6" i="3"/>
  <c r="E586" i="3"/>
  <c r="E578" i="3"/>
  <c r="E402" i="3"/>
  <c r="E423" i="3"/>
  <c r="E350" i="3"/>
  <c r="E382" i="3"/>
  <c r="E303" i="3"/>
  <c r="E263" i="3"/>
  <c r="E301" i="3"/>
  <c r="E245" i="3"/>
  <c r="E159" i="3"/>
  <c r="E191" i="3"/>
  <c r="E99" i="3"/>
  <c r="E188" i="3"/>
  <c r="E228" i="3"/>
  <c r="E181" i="3"/>
  <c r="E157" i="3"/>
  <c r="E120" i="3"/>
  <c r="E45" i="3"/>
  <c r="E277" i="3"/>
  <c r="E224" i="3"/>
  <c r="E177" i="3"/>
  <c r="E193" i="3"/>
  <c r="E133" i="3"/>
  <c r="E286" i="3"/>
  <c r="E312"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535" i="3"/>
  <c r="E172" i="3"/>
  <c r="E445" i="3"/>
  <c r="E563" i="3"/>
  <c r="E550" i="3"/>
  <c r="E260" i="3"/>
  <c r="E395" i="3"/>
  <c r="E415" i="3"/>
  <c r="E278" i="3"/>
  <c r="E545" i="3"/>
  <c r="E583" i="3"/>
  <c r="E539" i="3"/>
  <c r="E347" i="3"/>
  <c r="E329" i="3"/>
  <c r="AY6" i="3"/>
  <c r="AY276" i="3" s="1"/>
  <c r="E302" i="3"/>
  <c r="E503" i="3"/>
  <c r="E17" i="3"/>
  <c r="E361" i="3"/>
  <c r="E213" i="3"/>
  <c r="E183" i="3"/>
  <c r="E565" i="3"/>
  <c r="E528" i="3"/>
  <c r="E304" i="3"/>
  <c r="E114" i="3"/>
  <c r="E261" i="3"/>
  <c r="E237" i="3"/>
  <c r="E328" i="3"/>
  <c r="AJ6" i="3"/>
  <c r="E508" i="3"/>
  <c r="N6" i="3"/>
  <c r="E426" i="3"/>
  <c r="E322" i="3"/>
  <c r="E305" i="3"/>
  <c r="E282" i="3"/>
  <c r="E153" i="3"/>
  <c r="E268" i="3"/>
  <c r="E343" i="3"/>
  <c r="E553" i="3"/>
  <c r="E501" i="3"/>
  <c r="E526" i="3"/>
  <c r="E530" i="3"/>
  <c r="E366" i="3"/>
  <c r="E319" i="3"/>
  <c r="E217" i="3"/>
  <c r="E175" i="3"/>
  <c r="E125" i="3"/>
  <c r="M19" i="6"/>
  <c r="AR6" i="1"/>
  <c r="T7" i="1"/>
  <c r="AR7" i="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C5" i="15"/>
  <c r="C32" i="15" s="1"/>
  <c r="E6" i="6"/>
  <c r="D19" i="11"/>
  <c r="C19" i="11" s="1"/>
  <c r="C20" i="11" s="1"/>
  <c r="C17" i="4"/>
  <c r="B4" i="52" s="1"/>
  <c r="B43" i="72" s="1"/>
  <c r="D37" i="11"/>
  <c r="L18" i="9"/>
  <c r="D14" i="12"/>
  <c r="D17" i="12" s="1"/>
  <c r="C17" i="12" s="1"/>
  <c r="D3" i="37"/>
  <c r="M18" i="9"/>
  <c r="B118" i="9" s="1"/>
  <c r="B14" i="74" s="1"/>
  <c r="B1" i="74" s="1"/>
  <c r="AY66" i="3"/>
  <c r="C47" i="69"/>
  <c r="D45" i="69" s="1"/>
  <c r="C29" i="69"/>
  <c r="D27" i="69" s="1"/>
  <c r="F27" i="68"/>
  <c r="F28" i="12"/>
  <c r="P7" i="1"/>
  <c r="O16" i="1"/>
  <c r="C38" i="43"/>
  <c r="G38" i="43" s="1"/>
  <c r="I38" i="43" s="1"/>
  <c r="F24" i="15"/>
  <c r="C24" i="15" s="1"/>
  <c r="F22" i="11"/>
  <c r="F25" i="12"/>
  <c r="F22" i="69"/>
  <c r="F24" i="67"/>
  <c r="C24" i="67" s="1"/>
  <c r="F22" i="68"/>
  <c r="T11" i="43"/>
  <c r="V11" i="43" s="1"/>
  <c r="T16" i="43"/>
  <c r="V16" i="43" s="1"/>
  <c r="T14" i="43"/>
  <c r="V14" i="43" s="1"/>
  <c r="T12" i="43"/>
  <c r="V12" i="43" s="1"/>
  <c r="T9" i="43"/>
  <c r="V9" i="43" s="1"/>
  <c r="T8" i="43"/>
  <c r="V8" i="43" s="1"/>
  <c r="T15" i="43"/>
  <c r="V15" i="43" s="1"/>
  <c r="T13" i="43"/>
  <c r="V13" i="43" s="1"/>
  <c r="T10" i="43"/>
  <c r="V10" i="43" s="1"/>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H10" i="39"/>
  <c r="J10" i="39"/>
  <c r="C49" i="15"/>
  <c r="Q60" i="15"/>
  <c r="M16" i="1"/>
  <c r="N16" i="1" s="1"/>
  <c r="B21" i="1" s="1"/>
  <c r="Q60" i="67"/>
  <c r="Q73" i="67"/>
  <c r="F27" i="11"/>
  <c r="Q61" i="67"/>
  <c r="Q74" i="67"/>
  <c r="C49" i="67"/>
  <c r="F1" i="67"/>
  <c r="Q52" i="67"/>
  <c r="C17" i="15"/>
  <c r="C17" i="83"/>
  <c r="C17" i="82"/>
  <c r="C17" i="78"/>
  <c r="J24" i="78" l="1"/>
  <c r="G3" i="43"/>
  <c r="C11" i="39"/>
  <c r="F11" i="21"/>
  <c r="H11" i="21"/>
  <c r="J11" i="21"/>
  <c r="AY500" i="3"/>
  <c r="AY523" i="3"/>
  <c r="M27" i="6"/>
  <c r="J5" i="83"/>
  <c r="J26" i="83" s="1"/>
  <c r="AY443" i="3"/>
  <c r="BP6" i="3"/>
  <c r="AY373" i="3"/>
  <c r="AY143" i="3"/>
  <c r="AY265" i="3"/>
  <c r="AY445" i="3"/>
  <c r="AY324" i="3"/>
  <c r="AY541" i="3"/>
  <c r="BT6" i="3"/>
  <c r="AY386" i="3"/>
  <c r="AY71" i="3"/>
  <c r="AY315" i="3"/>
  <c r="AY19" i="3"/>
  <c r="AY522" i="3"/>
  <c r="AY250" i="3"/>
  <c r="AY580" i="3"/>
  <c r="AY161" i="3"/>
  <c r="AY134" i="3"/>
  <c r="AY470" i="3"/>
  <c r="AY521" i="3"/>
  <c r="AY307" i="3"/>
  <c r="AY257" i="3"/>
  <c r="AY200" i="3"/>
  <c r="AY568" i="3"/>
  <c r="AY451" i="3"/>
  <c r="AY394" i="3"/>
  <c r="AY151" i="3"/>
  <c r="AY79" i="3"/>
  <c r="AY551" i="3"/>
  <c r="AY505" i="3"/>
  <c r="AY305" i="3"/>
  <c r="AY174" i="3"/>
  <c r="AY552" i="3"/>
  <c r="AY438" i="3"/>
  <c r="AY215" i="3"/>
  <c r="AY88" i="3"/>
  <c r="AY270" i="3"/>
  <c r="AY201" i="3"/>
  <c r="AY358" i="3"/>
  <c r="AY176" i="3"/>
  <c r="AY188" i="3"/>
  <c r="AY297" i="3"/>
  <c r="AY335" i="3"/>
  <c r="AY409" i="3"/>
  <c r="AY228" i="3"/>
  <c r="AY465" i="3"/>
  <c r="BK6" i="3"/>
  <c r="AY108" i="3"/>
  <c r="AY28" i="3"/>
  <c r="AY162" i="3"/>
  <c r="AY141" i="3"/>
  <c r="AY291" i="3"/>
  <c r="AY255" i="3"/>
  <c r="AY238" i="3"/>
  <c r="AY384" i="3"/>
  <c r="AY368" i="3"/>
  <c r="BB6" i="3"/>
  <c r="AY72" i="3"/>
  <c r="AY181" i="3"/>
  <c r="AY121" i="3"/>
  <c r="AY258" i="3"/>
  <c r="AY370" i="3"/>
  <c r="AY309" i="3"/>
  <c r="AY483" i="3"/>
  <c r="AY449" i="3"/>
  <c r="AY406" i="3"/>
  <c r="AY503" i="3"/>
  <c r="AY572" i="3"/>
  <c r="AY520" i="3"/>
  <c r="AY543" i="3"/>
  <c r="AY496" i="3"/>
  <c r="AY81" i="3"/>
  <c r="AY21" i="3"/>
  <c r="AY153" i="3"/>
  <c r="AY267" i="3"/>
  <c r="AY396" i="3"/>
  <c r="AY337" i="3"/>
  <c r="AY320" i="3"/>
  <c r="AY476" i="3"/>
  <c r="AY434" i="3"/>
  <c r="AY415"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566" i="3"/>
  <c r="AY400" i="3"/>
  <c r="AY477" i="3"/>
  <c r="AY351" i="3"/>
  <c r="AY240" i="3"/>
  <c r="AY293" i="3"/>
  <c r="AY164" i="3"/>
  <c r="AY54" i="3"/>
  <c r="AY107" i="3"/>
  <c r="AY547" i="3"/>
  <c r="AY408" i="3"/>
  <c r="AY485" i="3"/>
  <c r="AY359" i="3"/>
  <c r="AY248" i="3"/>
  <c r="AY301" i="3"/>
  <c r="AY172" i="3"/>
  <c r="AY62" i="3"/>
  <c r="AY493" i="3"/>
  <c r="AY545" i="3"/>
  <c r="AY515" i="3"/>
  <c r="AY538" i="3"/>
  <c r="AY402" i="3"/>
  <c r="AY479" i="3"/>
  <c r="AY361" i="3"/>
  <c r="AY113" i="3"/>
  <c r="AY64" i="3"/>
  <c r="AY532" i="3"/>
  <c r="AY536" i="3"/>
  <c r="AY419" i="3"/>
  <c r="AY480" i="3"/>
  <c r="AY341" i="3"/>
  <c r="AY275" i="3"/>
  <c r="AY29" i="3"/>
  <c r="AY507" i="3"/>
  <c r="AY227" i="3"/>
  <c r="AY286" i="3"/>
  <c r="AY173" i="3"/>
  <c r="AY45" i="3"/>
  <c r="AY433" i="3"/>
  <c r="AY180" i="3"/>
  <c r="AY225" i="3"/>
  <c r="AY115" i="3"/>
  <c r="AC6" i="3"/>
  <c r="E6" i="3" s="1"/>
  <c r="E11" i="70"/>
  <c r="J18" i="82"/>
  <c r="J26" i="82"/>
  <c r="AQ11" i="1"/>
  <c r="AR11" i="1"/>
  <c r="T11" i="1"/>
  <c r="E10" i="70"/>
  <c r="C29" i="68"/>
  <c r="D27" i="68" s="1"/>
  <c r="B24" i="1"/>
  <c r="F34" i="11" s="1"/>
  <c r="B23" i="1"/>
  <c r="C26" i="68" s="1"/>
  <c r="D22" i="68" s="1"/>
  <c r="C29" i="12"/>
  <c r="D28" i="12" s="1"/>
  <c r="C24" i="82"/>
  <c r="J18" i="78"/>
  <c r="AQ10" i="1"/>
  <c r="T10" i="1"/>
  <c r="AR10" i="1"/>
  <c r="E8" i="70"/>
  <c r="E9" i="70"/>
  <c r="AR8" i="1"/>
  <c r="AQ8" i="1"/>
  <c r="T8" i="1"/>
  <c r="AR9" i="1"/>
  <c r="T9" i="1"/>
  <c r="AQ9" i="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498" i="3"/>
  <c r="AY586" i="3"/>
  <c r="AY504" i="3"/>
  <c r="AY511" i="3"/>
  <c r="BC6" i="3"/>
  <c r="BD6" i="3"/>
  <c r="AY550" i="3"/>
  <c r="AY429" i="3"/>
  <c r="AY416" i="3"/>
  <c r="AY448" i="3"/>
  <c r="AY459" i="3"/>
  <c r="AY490" i="3"/>
  <c r="AY306" i="3"/>
  <c r="AY338" i="3"/>
  <c r="AY323" i="3"/>
  <c r="AY354" i="3"/>
  <c r="AY367" i="3"/>
  <c r="AY391" i="3"/>
  <c r="AY213" i="3"/>
  <c r="AY224" i="3"/>
  <c r="AY256" i="3"/>
  <c r="AY241" i="3"/>
  <c r="AY273" i="3"/>
  <c r="AY277" i="3"/>
  <c r="AY119" i="3"/>
  <c r="AY128" i="3"/>
  <c r="AY159" i="3"/>
  <c r="AY148" i="3"/>
  <c r="AY179" i="3"/>
  <c r="AY184" i="3"/>
  <c r="AY27" i="3"/>
  <c r="AY38" i="3"/>
  <c r="AY70" i="3"/>
  <c r="AY55" i="3"/>
  <c r="AY86" i="3"/>
  <c r="AY91" i="3"/>
  <c r="AY587" i="3"/>
  <c r="BL6" i="3"/>
  <c r="AY512" i="3"/>
  <c r="AY560" i="3"/>
  <c r="AY517" i="3"/>
  <c r="AY558" i="3"/>
  <c r="AY405" i="3"/>
  <c r="AY437" i="3"/>
  <c r="AY424" i="3"/>
  <c r="AY456" i="3"/>
  <c r="AY466" i="3"/>
  <c r="AY469" i="3"/>
  <c r="AY314" i="3"/>
  <c r="AY346" i="3"/>
  <c r="AY331" i="3"/>
  <c r="AY362" i="3"/>
  <c r="AY376" i="3"/>
  <c r="AY378" i="3"/>
  <c r="AY221" i="3"/>
  <c r="AY232" i="3"/>
  <c r="AY264" i="3"/>
  <c r="AY249" i="3"/>
  <c r="AY280" i="3"/>
  <c r="AY285" i="3"/>
  <c r="AY127" i="3"/>
  <c r="AY135" i="3"/>
  <c r="AY167" i="3"/>
  <c r="AY156" i="3"/>
  <c r="AY187" i="3"/>
  <c r="AY192" i="3"/>
  <c r="AY35" i="3"/>
  <c r="AY46" i="3"/>
  <c r="AY78" i="3"/>
  <c r="AY63" i="3"/>
  <c r="AY94" i="3"/>
  <c r="AY99" i="3"/>
  <c r="BA6" i="3"/>
  <c r="AY578" i="3"/>
  <c r="AY531" i="3"/>
  <c r="AY570" i="3"/>
  <c r="BR6" i="3"/>
  <c r="AY542" i="3"/>
  <c r="AY509" i="3"/>
  <c r="AY565" i="3"/>
  <c r="AY502" i="3"/>
  <c r="AY524" i="3"/>
  <c r="D3" i="6"/>
  <c r="H20" i="6" s="1"/>
  <c r="AY14" i="3"/>
  <c r="AY499" i="3"/>
  <c r="AY506" i="3"/>
  <c r="AY399" i="3"/>
  <c r="AY431" i="3"/>
  <c r="AY418" i="3"/>
  <c r="AY450" i="3"/>
  <c r="AY461" i="3"/>
  <c r="AY492" i="3"/>
  <c r="AY304" i="3"/>
  <c r="AY336" i="3"/>
  <c r="AY321" i="3"/>
  <c r="AY352" i="3"/>
  <c r="AY385" i="3"/>
  <c r="AY218" i="3"/>
  <c r="AY235" i="3"/>
  <c r="AY298" i="3"/>
  <c r="AY122" i="3"/>
  <c r="AY142" i="3"/>
  <c r="AY205" i="3"/>
  <c r="AY32" i="3"/>
  <c r="AY49" i="3"/>
  <c r="AY112" i="3"/>
  <c r="AY577" i="3"/>
  <c r="AY556" i="3"/>
  <c r="AY508" i="3"/>
  <c r="AY559" i="3"/>
  <c r="AY518" i="3"/>
  <c r="AY527" i="3"/>
  <c r="BN6" i="3"/>
  <c r="AY516" i="3"/>
  <c r="AY525" i="3"/>
  <c r="AY403" i="3"/>
  <c r="AY435" i="3"/>
  <c r="AY422" i="3"/>
  <c r="AY454" i="3"/>
  <c r="AY464" i="3"/>
  <c r="AY467" i="3"/>
  <c r="AY308" i="3"/>
  <c r="AY340" i="3"/>
  <c r="AY325" i="3"/>
  <c r="AY356" i="3"/>
  <c r="AY393" i="3"/>
  <c r="AY226" i="3"/>
  <c r="AY243" i="3"/>
  <c r="AY279" i="3"/>
  <c r="AY130" i="3"/>
  <c r="AY150" i="3"/>
  <c r="AY186" i="3"/>
  <c r="AY40" i="3"/>
  <c r="AY57" i="3"/>
  <c r="AY93" i="3"/>
  <c r="BI6" i="3"/>
  <c r="BS6" i="3"/>
  <c r="AY365" i="3"/>
  <c r="AY389" i="3"/>
  <c r="AY211" i="3"/>
  <c r="AY222" i="3"/>
  <c r="AY254" i="3"/>
  <c r="AY239" i="3"/>
  <c r="AY271" i="3"/>
  <c r="AY302" i="3"/>
  <c r="AY117" i="3"/>
  <c r="AY126" i="3"/>
  <c r="AY157" i="3"/>
  <c r="AY146" i="3"/>
  <c r="AY178" i="3"/>
  <c r="AY206" i="3"/>
  <c r="AY60" i="3"/>
  <c r="AY77" i="3"/>
  <c r="AY553" i="3"/>
  <c r="AY569" i="3"/>
  <c r="AY513" i="3"/>
  <c r="AY452" i="3"/>
  <c r="AY342" i="3"/>
  <c r="AY395" i="3"/>
  <c r="AY245" i="3"/>
  <c r="AY106" i="3"/>
  <c r="AY428" i="3"/>
  <c r="AY318" i="3"/>
  <c r="AY371" i="3"/>
  <c r="AY268" i="3"/>
  <c r="AY58" i="3"/>
  <c r="AY131" i="3"/>
  <c r="AY59" i="3"/>
  <c r="AY155" i="3"/>
  <c r="AY23" i="3"/>
  <c r="AY83" i="3"/>
  <c r="E37" i="43"/>
  <c r="AA7" i="36"/>
  <c r="R36" i="36" s="1"/>
  <c r="E36" i="36" s="1"/>
  <c r="E40" i="36" s="1"/>
  <c r="F40" i="36" s="1"/>
  <c r="AC11" i="37"/>
  <c r="W11" i="37"/>
  <c r="AB7" i="37"/>
  <c r="T42" i="37" s="1"/>
  <c r="G42" i="37" s="1"/>
  <c r="G46" i="37" s="1"/>
  <c r="H46" i="37" s="1"/>
  <c r="W11" i="34"/>
  <c r="AC11" i="34"/>
  <c r="J5" i="67"/>
  <c r="J5" i="15"/>
  <c r="AB7" i="36"/>
  <c r="T36" i="36" s="1"/>
  <c r="C38" i="15"/>
  <c r="E38" i="43"/>
  <c r="C47" i="68"/>
  <c r="D45" i="68" s="1"/>
  <c r="AA10" i="39"/>
  <c r="D10" i="68"/>
  <c r="D10" i="11"/>
  <c r="C10" i="11" s="1"/>
  <c r="D20" i="12"/>
  <c r="C20" i="12" s="1"/>
  <c r="C18" i="12" s="1"/>
  <c r="D22" i="6"/>
  <c r="D29" i="6"/>
  <c r="C13" i="12"/>
  <c r="P16" i="1"/>
  <c r="C11" i="12" s="1"/>
  <c r="F11" i="12"/>
  <c r="AC10" i="40"/>
  <c r="C44" i="68"/>
  <c r="D41" i="68" s="1"/>
  <c r="C26" i="69"/>
  <c r="D22" i="69" s="1"/>
  <c r="C44" i="69"/>
  <c r="D41" i="69" s="1"/>
  <c r="C26" i="11"/>
  <c r="D22" i="11" s="1"/>
  <c r="C24" i="11"/>
  <c r="C44" i="11"/>
  <c r="D41" i="11" s="1"/>
  <c r="E33" i="43"/>
  <c r="G35" i="43"/>
  <c r="I35" i="43" s="1"/>
  <c r="E35" i="43"/>
  <c r="G36" i="43"/>
  <c r="I36" i="43" s="1"/>
  <c r="G34" i="43"/>
  <c r="I34" i="43" s="1"/>
  <c r="E34" i="43"/>
  <c r="J7" i="21"/>
  <c r="AC7"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68"/>
  <c r="C47" i="11"/>
  <c r="D45" i="11" s="1"/>
  <c r="C29" i="11"/>
  <c r="D27" i="11" s="1"/>
  <c r="C28" i="11"/>
  <c r="C27" i="11" s="1"/>
  <c r="L16" i="1"/>
  <c r="C14" i="83"/>
  <c r="C14" i="82"/>
  <c r="C14" i="78"/>
  <c r="J18" i="83" l="1"/>
  <c r="F50" i="11"/>
  <c r="C26" i="12"/>
  <c r="D25" i="12" s="1"/>
  <c r="J24" i="83"/>
  <c r="D6" i="6"/>
  <c r="U11" i="21"/>
  <c r="AB11" i="21"/>
  <c r="F11" i="39"/>
  <c r="J11" i="39"/>
  <c r="H11" i="39"/>
  <c r="T48" i="21"/>
  <c r="W11" i="21"/>
  <c r="AC11" i="21"/>
  <c r="V48" i="21" s="1"/>
  <c r="I48" i="21" s="1"/>
  <c r="I52" i="21" s="1"/>
  <c r="J52" i="21" s="1"/>
  <c r="S11" i="21"/>
  <c r="AA11" i="21"/>
  <c r="K101" i="43"/>
  <c r="G101" i="43"/>
  <c r="AJ11" i="43"/>
  <c r="AJ13" i="43" s="1"/>
  <c r="AB11" i="43"/>
  <c r="AB13" i="43" s="1"/>
  <c r="AG11" i="43"/>
  <c r="AG13" i="43" s="1"/>
  <c r="Y11" i="43"/>
  <c r="Y13" i="43" s="1"/>
  <c r="F101" i="43"/>
  <c r="C101" i="43"/>
  <c r="H22" i="43"/>
  <c r="M101" i="43"/>
  <c r="AH11" i="43"/>
  <c r="AH13" i="43" s="1"/>
  <c r="Z11" i="43"/>
  <c r="Z13" i="43" s="1"/>
  <c r="AE11" i="43"/>
  <c r="AE13" i="43" s="1"/>
  <c r="L101" i="43"/>
  <c r="I101" i="43"/>
  <c r="F22" i="43"/>
  <c r="N101" i="43"/>
  <c r="J101" i="43"/>
  <c r="AF11" i="43"/>
  <c r="AF13" i="43" s="1"/>
  <c r="Z7" i="43"/>
  <c r="AC11" i="43"/>
  <c r="AC13" i="43" s="1"/>
  <c r="B113" i="43"/>
  <c r="E22" i="43"/>
  <c r="N104" i="46"/>
  <c r="H101" i="43"/>
  <c r="E101" i="43"/>
  <c r="AD11" i="43"/>
  <c r="AD13" i="43" s="1"/>
  <c r="AI11" i="43"/>
  <c r="AI13" i="43" s="1"/>
  <c r="AA11" i="43"/>
  <c r="AA13" i="43" s="1"/>
  <c r="D101" i="43"/>
  <c r="G22" i="43"/>
  <c r="C37" i="11"/>
  <c r="C34" i="11"/>
  <c r="F50" i="69"/>
  <c r="F34" i="68"/>
  <c r="C36" i="68" s="1"/>
  <c r="S5" i="43"/>
  <c r="T5" i="43" s="1"/>
  <c r="V5" i="43" s="1"/>
  <c r="S4" i="43"/>
  <c r="T4" i="43" s="1"/>
  <c r="V4" i="43" s="1"/>
  <c r="S3" i="43"/>
  <c r="T3" i="43" s="1"/>
  <c r="V3" i="43" s="1"/>
  <c r="S2" i="43"/>
  <c r="T2" i="43" s="1"/>
  <c r="V2" i="43" s="1"/>
  <c r="S7" i="43"/>
  <c r="T7" i="43" s="1"/>
  <c r="V7" i="43" s="1"/>
  <c r="S6" i="43"/>
  <c r="T6" i="43" s="1"/>
  <c r="V6" i="43" s="1"/>
  <c r="C23" i="43"/>
  <c r="C23" i="11"/>
  <c r="C25" i="11"/>
  <c r="H23" i="6"/>
  <c r="D10" i="6"/>
  <c r="D24" i="6"/>
  <c r="D25" i="6"/>
  <c r="C15" i="83"/>
  <c r="C18" i="83"/>
  <c r="M59" i="83"/>
  <c r="L59" i="83" s="1"/>
  <c r="J53" i="83"/>
  <c r="C18" i="82"/>
  <c r="C15" i="82"/>
  <c r="J53" i="82"/>
  <c r="J53" i="78"/>
  <c r="M59" i="82"/>
  <c r="L59" i="82" s="1"/>
  <c r="M59" i="78"/>
  <c r="L59" i="78" s="1"/>
  <c r="M59" i="15"/>
  <c r="L59" i="15" s="1"/>
  <c r="M59" i="67"/>
  <c r="J53" i="15"/>
  <c r="C18" i="78"/>
  <c r="C15" i="78"/>
  <c r="H26" i="6"/>
  <c r="H25" i="6"/>
  <c r="L19" i="9"/>
  <c r="D9" i="6"/>
  <c r="D20" i="6"/>
  <c r="R20" i="6" s="1"/>
  <c r="R7" i="1" s="1"/>
  <c r="D21" i="6"/>
  <c r="D15" i="6"/>
  <c r="M19" i="9"/>
  <c r="C118" i="9" s="1"/>
  <c r="C14" i="74" s="1"/>
  <c r="B2" i="74" s="1"/>
  <c r="H24" i="6"/>
  <c r="H21" i="6"/>
  <c r="H22" i="6"/>
  <c r="R22" i="6" s="1"/>
  <c r="R9" i="1" s="1"/>
  <c r="E61" i="40"/>
  <c r="D28" i="6"/>
  <c r="D13" i="6"/>
  <c r="D11" i="6"/>
  <c r="D12" i="6"/>
  <c r="D5" i="6"/>
  <c r="D14" i="6"/>
  <c r="D23" i="6"/>
  <c r="D8" i="6"/>
  <c r="C18" i="4"/>
  <c r="A7" i="51" s="1"/>
  <c r="B7" i="72" s="1"/>
  <c r="D26" i="6"/>
  <c r="D19" i="6"/>
  <c r="R19" i="6" s="1"/>
  <c r="C36" i="11"/>
  <c r="J24" i="67"/>
  <c r="J18" i="67"/>
  <c r="J24" i="15"/>
  <c r="J18" i="15"/>
  <c r="G36" i="36"/>
  <c r="R37" i="36"/>
  <c r="AB7" i="34"/>
  <c r="T49" i="34" s="1"/>
  <c r="G49" i="34" s="1"/>
  <c r="G53" i="34" s="1"/>
  <c r="H53" i="34" s="1"/>
  <c r="W7" i="21"/>
  <c r="AA7" i="21"/>
  <c r="R48" i="21" s="1"/>
  <c r="E48" i="21" s="1"/>
  <c r="E52" i="21" s="1"/>
  <c r="F52" i="21" s="1"/>
  <c r="R26" i="6"/>
  <c r="R23" i="6"/>
  <c r="R10" i="1" s="1"/>
  <c r="D30" i="6"/>
  <c r="C4" i="52"/>
  <c r="B45" i="72" s="1"/>
  <c r="D19" i="68"/>
  <c r="C10" i="68"/>
  <c r="C12" i="12"/>
  <c r="C15" i="12"/>
  <c r="U7" i="2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C35" i="11"/>
  <c r="C38" i="11"/>
  <c r="C14" i="12"/>
  <c r="M21" i="82"/>
  <c r="F35" i="78"/>
  <c r="F35" i="82"/>
  <c r="M21" i="78"/>
  <c r="R25" i="6" l="1"/>
  <c r="D103" i="43"/>
  <c r="D107" i="43"/>
  <c r="D106" i="43"/>
  <c r="D109" i="43"/>
  <c r="D104" i="43"/>
  <c r="D105" i="43"/>
  <c r="D102" i="43"/>
  <c r="E104" i="43"/>
  <c r="E105" i="43"/>
  <c r="E102" i="43"/>
  <c r="E103" i="43"/>
  <c r="E107" i="43"/>
  <c r="E109" i="43"/>
  <c r="E106" i="43"/>
  <c r="D117" i="43"/>
  <c r="E117" i="43" s="1"/>
  <c r="F117" i="43" s="1"/>
  <c r="G117" i="43" s="1"/>
  <c r="H117" i="43" s="1"/>
  <c r="I118" i="43"/>
  <c r="J118" i="43" s="1"/>
  <c r="K118" i="43" s="1"/>
  <c r="L118" i="43" s="1"/>
  <c r="M118" i="43" s="1"/>
  <c r="B116" i="43"/>
  <c r="C116" i="43" s="1"/>
  <c r="B117" i="43"/>
  <c r="C117" i="43" s="1"/>
  <c r="D116" i="43"/>
  <c r="E116" i="43" s="1"/>
  <c r="F116" i="43" s="1"/>
  <c r="G116" i="43" s="1"/>
  <c r="H116" i="43" s="1"/>
  <c r="B118" i="43"/>
  <c r="C118" i="43" s="1"/>
  <c r="B115" i="43"/>
  <c r="C115" i="43" s="1"/>
  <c r="I115" i="43"/>
  <c r="J115" i="43" s="1"/>
  <c r="K115" i="43" s="1"/>
  <c r="L115" i="43" s="1"/>
  <c r="M115" i="43" s="1"/>
  <c r="D118" i="43"/>
  <c r="E118" i="43" s="1"/>
  <c r="F118" i="43" s="1"/>
  <c r="I117" i="43"/>
  <c r="J117" i="43" s="1"/>
  <c r="K117" i="43" s="1"/>
  <c r="L117" i="43" s="1"/>
  <c r="M117" i="43" s="1"/>
  <c r="D115" i="43"/>
  <c r="E115" i="43" s="1"/>
  <c r="F115" i="43" s="1"/>
  <c r="G115" i="43" s="1"/>
  <c r="H115" i="43" s="1"/>
  <c r="G118" i="43"/>
  <c r="H118" i="43" s="1"/>
  <c r="I116" i="43"/>
  <c r="J116" i="43" s="1"/>
  <c r="K116" i="43" s="1"/>
  <c r="L116" i="43" s="1"/>
  <c r="M116" i="43" s="1"/>
  <c r="J104" i="43"/>
  <c r="J107" i="43"/>
  <c r="J109" i="43"/>
  <c r="J106" i="43"/>
  <c r="J105" i="43"/>
  <c r="J102" i="43"/>
  <c r="J103" i="43"/>
  <c r="L109" i="43"/>
  <c r="L105" i="43"/>
  <c r="L106" i="43"/>
  <c r="L103" i="43"/>
  <c r="L102" i="43"/>
  <c r="L104" i="43"/>
  <c r="L107" i="43"/>
  <c r="M104" i="43"/>
  <c r="M105" i="43"/>
  <c r="M106" i="43"/>
  <c r="M109" i="43"/>
  <c r="M107" i="43"/>
  <c r="M102" i="43"/>
  <c r="M103" i="43"/>
  <c r="C104" i="43"/>
  <c r="C106" i="43"/>
  <c r="C102" i="43"/>
  <c r="C103" i="43"/>
  <c r="C109" i="43"/>
  <c r="C105" i="43"/>
  <c r="C107" i="43"/>
  <c r="G105" i="43"/>
  <c r="G104" i="43"/>
  <c r="G109" i="43"/>
  <c r="G103" i="43"/>
  <c r="G102" i="43"/>
  <c r="G106" i="43"/>
  <c r="G107" i="43"/>
  <c r="W11" i="39"/>
  <c r="AC11" i="39"/>
  <c r="A10" i="51"/>
  <c r="B9" i="72" s="1"/>
  <c r="H27" i="6"/>
  <c r="H106" i="43"/>
  <c r="H102" i="43"/>
  <c r="H104" i="43"/>
  <c r="H107" i="43"/>
  <c r="H105" i="43"/>
  <c r="H103" i="43"/>
  <c r="H109" i="43"/>
  <c r="D22" i="43"/>
  <c r="C21" i="43" s="1"/>
  <c r="N109" i="43"/>
  <c r="N103" i="43"/>
  <c r="N104" i="43"/>
  <c r="N102" i="43"/>
  <c r="N107" i="43"/>
  <c r="N105" i="43"/>
  <c r="N106" i="43"/>
  <c r="I102" i="43"/>
  <c r="I103" i="43"/>
  <c r="I107" i="43"/>
  <c r="I109" i="43"/>
  <c r="I106" i="43"/>
  <c r="I104" i="43"/>
  <c r="I105" i="43"/>
  <c r="F107" i="43"/>
  <c r="F105" i="43"/>
  <c r="F102" i="43"/>
  <c r="F104" i="43"/>
  <c r="F106" i="43"/>
  <c r="F109" i="43"/>
  <c r="F103" i="43"/>
  <c r="K102" i="43"/>
  <c r="K106" i="43"/>
  <c r="K109" i="43"/>
  <c r="K103" i="43"/>
  <c r="K105" i="43"/>
  <c r="K104" i="43"/>
  <c r="K107" i="43"/>
  <c r="U11" i="39"/>
  <c r="AB11" i="39"/>
  <c r="AA11" i="39"/>
  <c r="S11" i="39"/>
  <c r="C34" i="68"/>
  <c r="C35" i="68" s="1"/>
  <c r="C22" i="11"/>
  <c r="C31" i="11" s="1"/>
  <c r="R24" i="6"/>
  <c r="R11" i="1" s="1"/>
  <c r="D16" i="6"/>
  <c r="R21" i="6"/>
  <c r="R8" i="1" s="1"/>
  <c r="C19" i="83"/>
  <c r="C20" i="83" s="1"/>
  <c r="F1" i="83"/>
  <c r="Q52" i="83"/>
  <c r="Q74" i="83"/>
  <c r="Q61" i="83"/>
  <c r="C19" i="82"/>
  <c r="C20" i="82" s="1"/>
  <c r="C26" i="82" s="1"/>
  <c r="Q61" i="78"/>
  <c r="Q74" i="78"/>
  <c r="F1" i="78"/>
  <c r="Q52" i="78"/>
  <c r="L56" i="15"/>
  <c r="F1" i="15"/>
  <c r="Q52" i="15"/>
  <c r="Q74" i="15"/>
  <c r="Q61" i="15"/>
  <c r="Q74" i="82"/>
  <c r="Q61" i="82"/>
  <c r="Q52" i="82"/>
  <c r="F1" i="82"/>
  <c r="C19" i="78"/>
  <c r="C20" i="78" s="1"/>
  <c r="C26" i="78" s="1"/>
  <c r="F63" i="82"/>
  <c r="C62" i="82" s="1"/>
  <c r="C34" i="82"/>
  <c r="J20" i="82"/>
  <c r="D27" i="6"/>
  <c r="J20" i="78"/>
  <c r="F63" i="78"/>
  <c r="C62" i="78" s="1"/>
  <c r="C34" i="78"/>
  <c r="D31" i="6"/>
  <c r="I6" i="6" s="1"/>
  <c r="R49" i="21"/>
  <c r="C48" i="21" s="1"/>
  <c r="G54" i="34"/>
  <c r="H54" i="34" s="1"/>
  <c r="I53" i="21"/>
  <c r="J53" i="21" s="1"/>
  <c r="C37" i="36"/>
  <c r="C36" i="36"/>
  <c r="G40" i="36"/>
  <c r="H40" i="36" s="1"/>
  <c r="E41" i="36"/>
  <c r="F41" i="36" s="1"/>
  <c r="G41" i="36"/>
  <c r="H41" i="36" s="1"/>
  <c r="C19" i="68"/>
  <c r="D37" i="68"/>
  <c r="C37" i="68" s="1"/>
  <c r="R6" i="1"/>
  <c r="C16" i="12"/>
  <c r="C21" i="12" s="1"/>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15"/>
  <c r="M21" i="83"/>
  <c r="AE10" i="1"/>
  <c r="M21" i="15"/>
  <c r="AE11" i="1"/>
  <c r="F35" i="67"/>
  <c r="M21" i="67"/>
  <c r="F35" i="83"/>
  <c r="AE9" i="1"/>
  <c r="C38" i="68" l="1"/>
  <c r="C33" i="68" s="1"/>
  <c r="R27" i="6"/>
  <c r="C29" i="43"/>
  <c r="D113" i="43"/>
  <c r="J22" i="43" s="1"/>
  <c r="F63" i="83"/>
  <c r="C62" i="83" s="1"/>
  <c r="C34" i="83"/>
  <c r="J20" i="83"/>
  <c r="C26" i="83"/>
  <c r="C23" i="83"/>
  <c r="C23" i="82"/>
  <c r="C29" i="82" s="1"/>
  <c r="C23" i="78"/>
  <c r="C29" i="78" s="1"/>
  <c r="C57" i="78" s="1"/>
  <c r="L57" i="78"/>
  <c r="L60" i="78" s="1"/>
  <c r="I5" i="6"/>
  <c r="C49" i="21"/>
  <c r="F63" i="67"/>
  <c r="C62" i="67" s="1"/>
  <c r="C34" i="67"/>
  <c r="J20" i="67"/>
  <c r="C24" i="68"/>
  <c r="J20" i="15"/>
  <c r="F63" i="15"/>
  <c r="C62" i="15" s="1"/>
  <c r="C34" i="15"/>
  <c r="R16" i="1"/>
  <c r="C22" i="12"/>
  <c r="I63" i="40"/>
  <c r="H65" i="40"/>
  <c r="C39" i="11"/>
  <c r="C43" i="11" s="1"/>
  <c r="C41" i="11" s="1"/>
  <c r="I70" i="39"/>
  <c r="F41" i="78"/>
  <c r="F41" i="82"/>
  <c r="E29" i="43" l="1"/>
  <c r="C26" i="43" s="1"/>
  <c r="C30" i="43"/>
  <c r="E30" i="43" s="1"/>
  <c r="C27" i="43" s="1"/>
  <c r="C29" i="83"/>
  <c r="C36" i="83" s="1"/>
  <c r="F69" i="82"/>
  <c r="J29" i="82"/>
  <c r="J29" i="78"/>
  <c r="F69" i="78"/>
  <c r="C36" i="82"/>
  <c r="J14" i="82"/>
  <c r="Q49" i="82"/>
  <c r="J59" i="82"/>
  <c r="J60" i="82" s="1"/>
  <c r="C57" i="82"/>
  <c r="J19" i="82"/>
  <c r="J17" i="82" s="1"/>
  <c r="C13" i="82"/>
  <c r="C33" i="82"/>
  <c r="C31" i="82" s="1"/>
  <c r="C33" i="78"/>
  <c r="C31" i="78" s="1"/>
  <c r="C13" i="78"/>
  <c r="C56" i="78" s="1"/>
  <c r="C65" i="78" s="1"/>
  <c r="J19" i="78"/>
  <c r="J17" i="78" s="1"/>
  <c r="Q49" i="78"/>
  <c r="J14" i="78"/>
  <c r="J22" i="78" s="1"/>
  <c r="J59" i="78"/>
  <c r="J60" i="78" s="1"/>
  <c r="Q48" i="78" s="1"/>
  <c r="C36" i="78"/>
  <c r="C75" i="78"/>
  <c r="C61" i="78"/>
  <c r="C59" i="78" s="1"/>
  <c r="C64" i="78"/>
  <c r="Q66" i="78"/>
  <c r="Q57" i="78"/>
  <c r="C39" i="68"/>
  <c r="C43" i="68" s="1"/>
  <c r="C42" i="68"/>
  <c r="J63" i="40"/>
  <c r="I65" i="40"/>
  <c r="C46" i="11"/>
  <c r="C45" i="11" s="1"/>
  <c r="C49" i="11" s="1"/>
  <c r="C51" i="11" s="1"/>
  <c r="C52" i="11" s="1"/>
  <c r="B2" i="11" s="1"/>
  <c r="B3" i="11" s="1"/>
  <c r="J70" i="39"/>
  <c r="E6" i="76"/>
  <c r="E2" i="76" l="1"/>
  <c r="B2" i="43"/>
  <c r="C33" i="83"/>
  <c r="C31" i="83" s="1"/>
  <c r="Q49" i="83"/>
  <c r="C13" i="83"/>
  <c r="J19" i="83"/>
  <c r="J17" i="83" s="1"/>
  <c r="J14" i="83"/>
  <c r="C57" i="83"/>
  <c r="C37" i="78"/>
  <c r="Q48" i="82"/>
  <c r="L46" i="82"/>
  <c r="J13" i="82"/>
  <c r="J23" i="82" s="1"/>
  <c r="J22" i="82"/>
  <c r="Q70" i="82"/>
  <c r="C56" i="82"/>
  <c r="C65" i="82" s="1"/>
  <c r="C75" i="82"/>
  <c r="C37" i="82"/>
  <c r="C30" i="82" s="1"/>
  <c r="C39" i="82" s="1"/>
  <c r="C64" i="82"/>
  <c r="C61" i="82"/>
  <c r="C59" i="82" s="1"/>
  <c r="Q70" i="78"/>
  <c r="C58" i="78"/>
  <c r="C67" i="78" s="1"/>
  <c r="C68" i="78" s="1"/>
  <c r="C71" i="78" s="1"/>
  <c r="J13" i="78"/>
  <c r="J23" i="78" s="1"/>
  <c r="J16" i="78" s="1"/>
  <c r="J25" i="78" s="1"/>
  <c r="C30" i="78"/>
  <c r="C39" i="78" s="1"/>
  <c r="C40" i="78" s="1"/>
  <c r="L46" i="78"/>
  <c r="C41" i="68"/>
  <c r="C46" i="68"/>
  <c r="C45" i="68" s="1"/>
  <c r="K63" i="40"/>
  <c r="J65" i="40"/>
  <c r="K70" i="39"/>
  <c r="C56" i="11"/>
  <c r="C57" i="11" s="1"/>
  <c r="B6" i="76"/>
  <c r="L51" i="82"/>
  <c r="B2" i="76" l="1"/>
  <c r="B3" i="76" s="1"/>
  <c r="B3" i="43"/>
  <c r="Q70" i="83"/>
  <c r="C56" i="83"/>
  <c r="C65" i="83" s="1"/>
  <c r="C37" i="83"/>
  <c r="C30" i="83" s="1"/>
  <c r="C39" i="83" s="1"/>
  <c r="C75" i="83"/>
  <c r="C64" i="83"/>
  <c r="C61" i="83"/>
  <c r="C59" i="83" s="1"/>
  <c r="J13" i="83"/>
  <c r="J23" i="83" s="1"/>
  <c r="J22" i="83"/>
  <c r="C58" i="82"/>
  <c r="C67" i="82" s="1"/>
  <c r="C68" i="82" s="1"/>
  <c r="C71" i="82" s="1"/>
  <c r="J16" i="82"/>
  <c r="J25" i="82" s="1"/>
  <c r="Q67" i="82"/>
  <c r="Q69" i="82"/>
  <c r="Q68" i="82" s="1"/>
  <c r="C40" i="82"/>
  <c r="C80" i="82"/>
  <c r="C79" i="82" s="1"/>
  <c r="Q69" i="78"/>
  <c r="Q68" i="78" s="1"/>
  <c r="C80" i="78"/>
  <c r="C79" i="78" s="1"/>
  <c r="C43" i="78"/>
  <c r="C83" i="78"/>
  <c r="C82" i="78" s="1"/>
  <c r="B2" i="78"/>
  <c r="Q47" i="78"/>
  <c r="Q53" i="78" s="1"/>
  <c r="Q65" i="78"/>
  <c r="Q75" i="78" s="1"/>
  <c r="Q56" i="78"/>
  <c r="Q62" i="78" s="1"/>
  <c r="C46" i="78"/>
  <c r="C49" i="68"/>
  <c r="C51" i="68" s="1"/>
  <c r="L63" i="40"/>
  <c r="K65" i="40"/>
  <c r="L70" i="39"/>
  <c r="E2" i="70"/>
  <c r="C34" i="69"/>
  <c r="L51" i="78"/>
  <c r="C17" i="67"/>
  <c r="L51" i="83"/>
  <c r="AO9" i="1"/>
  <c r="C46" i="82" l="1"/>
  <c r="J16" i="83"/>
  <c r="J25" i="83" s="1"/>
  <c r="C58" i="83"/>
  <c r="C67" i="83" s="1"/>
  <c r="C80" i="83"/>
  <c r="C79" i="83" s="1"/>
  <c r="Q67" i="83"/>
  <c r="Q69" i="83"/>
  <c r="Q68" i="83" s="1"/>
  <c r="Q67" i="78"/>
  <c r="Q47" i="82"/>
  <c r="Q53" i="82" s="1"/>
  <c r="Q65" i="82"/>
  <c r="Q75" i="82" s="1"/>
  <c r="C43" i="82"/>
  <c r="B2" i="82"/>
  <c r="Q56" i="82"/>
  <c r="Q62" i="82" s="1"/>
  <c r="C83" i="82"/>
  <c r="C82" i="82" s="1"/>
  <c r="B9" i="70"/>
  <c r="F8" i="12"/>
  <c r="B3" i="78"/>
  <c r="F6" i="12" s="1"/>
  <c r="M63" i="40"/>
  <c r="L65" i="40"/>
  <c r="M70" i="39"/>
  <c r="C35" i="69"/>
  <c r="C38" i="69"/>
  <c r="D10" i="69"/>
  <c r="AO10" i="1"/>
  <c r="B10" i="70" l="1"/>
  <c r="G8" i="12"/>
  <c r="B3" i="82"/>
  <c r="G6" i="12" s="1"/>
  <c r="N63" i="40"/>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6" i="1"/>
  <c r="AE8" i="1"/>
  <c r="L51" i="15"/>
  <c r="C66" i="15" l="1"/>
  <c r="C60" i="15"/>
  <c r="C59" i="15" s="1"/>
  <c r="AG6" i="1"/>
  <c r="C80" i="15"/>
  <c r="C79" i="15" s="1"/>
  <c r="C65" i="15"/>
  <c r="Q68" i="15"/>
  <c r="L57" i="15"/>
  <c r="L60" i="15" s="1"/>
  <c r="Q67" i="15"/>
  <c r="F41" i="83"/>
  <c r="M27" i="15"/>
  <c r="F41" i="15"/>
  <c r="M27" i="67"/>
  <c r="F41" i="67"/>
  <c r="J29" i="83" l="1"/>
  <c r="F69" i="83"/>
  <c r="C68" i="83" s="1"/>
  <c r="C71" i="83" s="1"/>
  <c r="C40" i="83"/>
  <c r="Q47" i="83" s="1"/>
  <c r="Q53" i="83" s="1"/>
  <c r="J26" i="15"/>
  <c r="J29" i="15" s="1"/>
  <c r="J26" i="67"/>
  <c r="J29" i="67" s="1"/>
  <c r="C58" i="15"/>
  <c r="C67" i="15" s="1"/>
  <c r="F69" i="15"/>
  <c r="C40" i="15"/>
  <c r="C43" i="15" s="1"/>
  <c r="L46" i="15"/>
  <c r="Q57" i="15"/>
  <c r="Q66" i="15"/>
  <c r="F69" i="67"/>
  <c r="C68" i="67" s="1"/>
  <c r="C71" i="67" s="1"/>
  <c r="C40" i="67"/>
  <c r="C83" i="67" s="1"/>
  <c r="C82" i="67" s="1"/>
  <c r="C83" i="83" l="1"/>
  <c r="C82" i="83" s="1"/>
  <c r="C43" i="83"/>
  <c r="Q56" i="83"/>
  <c r="Q62" i="83" s="1"/>
  <c r="Q65" i="83"/>
  <c r="Q75" i="83" s="1"/>
  <c r="C46" i="83"/>
  <c r="B2" i="83"/>
  <c r="B3" i="83" s="1"/>
  <c r="H6" i="12" s="1"/>
  <c r="C68" i="15"/>
  <c r="C71" i="15" s="1"/>
  <c r="C83" i="15"/>
  <c r="C82" i="15" s="1"/>
  <c r="Q65" i="15"/>
  <c r="Q75" i="15" s="1"/>
  <c r="Q47" i="15"/>
  <c r="Q53" i="15" s="1"/>
  <c r="Q56" i="15"/>
  <c r="Q62" i="15" s="1"/>
  <c r="B2" i="15"/>
  <c r="C43" i="67"/>
  <c r="C45" i="67"/>
  <c r="C46" i="67" s="1"/>
  <c r="Q65" i="67"/>
  <c r="Q75" i="67" s="1"/>
  <c r="Q56" i="67"/>
  <c r="Q62" i="67" s="1"/>
  <c r="Q47" i="67"/>
  <c r="Q53" i="67" s="1"/>
  <c r="D2" i="67"/>
  <c r="B2" i="67" s="1"/>
  <c r="AO11" i="1"/>
  <c r="AO6" i="1"/>
  <c r="AO7" i="1"/>
  <c r="AO8" i="1"/>
  <c r="E2" i="69"/>
  <c r="B11" i="70" l="1"/>
  <c r="H8" i="12"/>
  <c r="B3" i="15"/>
  <c r="E6" i="12" s="1"/>
  <c r="E8" i="12"/>
  <c r="B8" i="70"/>
  <c r="B7" i="70"/>
  <c r="B6" i="70"/>
  <c r="C46" i="15"/>
  <c r="B2" i="69"/>
  <c r="B3" i="69" s="1"/>
  <c r="B3" i="67"/>
  <c r="D2" i="36"/>
  <c r="F20" i="31"/>
  <c r="D2" i="21"/>
  <c r="D2" i="37"/>
  <c r="D2" i="34"/>
  <c r="D2" i="33"/>
  <c r="E2" i="68"/>
  <c r="D2" i="35"/>
  <c r="B20" i="31" l="1"/>
  <c r="B2" i="36"/>
  <c r="B3" i="36" s="1"/>
  <c r="B2" i="35"/>
  <c r="B3" i="35" s="1"/>
  <c r="B2" i="37"/>
  <c r="B3" i="37" s="1"/>
  <c r="B2" i="34"/>
  <c r="B3" i="34" s="1"/>
  <c r="B2" i="21"/>
  <c r="B2" i="70"/>
  <c r="B3" i="70" s="1"/>
  <c r="B3" i="21" l="1"/>
  <c r="C6" i="12" s="1"/>
  <c r="C8" i="12"/>
  <c r="C4" i="12" s="1"/>
  <c r="C23" i="12" l="1"/>
  <c r="C31" i="12"/>
  <c r="C30" i="12" l="1"/>
  <c r="C28" i="12" s="1"/>
  <c r="C27" i="12"/>
  <c r="C25" i="12" s="1"/>
  <c r="H109" i="9"/>
  <c r="C32" i="12" l="1"/>
  <c r="B2" i="12" s="1"/>
  <c r="H110" i="9"/>
  <c r="D18" i="53" s="1"/>
  <c r="B35" i="72" s="1"/>
  <c r="D124" i="9"/>
  <c r="D16" i="53"/>
  <c r="B34" i="72" s="1"/>
  <c r="D19" i="9"/>
  <c r="D21" i="9" l="1"/>
  <c r="D102" i="9"/>
  <c r="B3" i="12"/>
  <c r="D10" i="52"/>
  <c r="H14" i="74"/>
  <c r="D17" i="53"/>
  <c r="B36" i="72" s="1"/>
  <c r="D125" i="9"/>
  <c r="D11" i="52" s="1"/>
  <c r="D20" i="9"/>
  <c r="D103" i="9" l="1"/>
  <c r="B7" i="74"/>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l="1"/>
  <c r="C6" i="68"/>
  <c r="C7" i="68" s="1"/>
  <c r="C5" i="68" s="1"/>
  <c r="C23" i="68" l="1"/>
  <c r="C20" i="68"/>
  <c r="C28" i="68" l="1"/>
  <c r="C27" i="68" s="1"/>
  <c r="C25" i="68"/>
  <c r="C22" i="68" s="1"/>
  <c r="H112" i="9"/>
  <c r="D21" i="53" s="1"/>
  <c r="B39" i="72" s="1"/>
  <c r="H111" i="9"/>
  <c r="D126" i="9" s="1"/>
  <c r="D19" i="53"/>
  <c r="D59" i="9"/>
  <c r="M55" i="9"/>
  <c r="C31" i="68" l="1"/>
  <c r="C52" i="68" s="1"/>
  <c r="C57" i="68" s="1"/>
  <c r="C56" i="68" s="1"/>
  <c r="B38" i="72"/>
  <c r="D20" i="53"/>
  <c r="B40" i="72" s="1"/>
  <c r="I14" i="74"/>
  <c r="B8" i="74" s="1"/>
  <c r="D127" i="9"/>
  <c r="D13" i="52" s="1"/>
  <c r="D12" i="52"/>
  <c r="B2" i="68" l="1"/>
  <c r="D8" i="74"/>
  <c r="C8" i="74"/>
  <c r="C19" i="9"/>
  <c r="B3" i="68" l="1"/>
  <c r="C21" i="9"/>
  <c r="D22" i="9"/>
  <c r="C102" i="9"/>
  <c r="G19" i="9"/>
  <c r="D35" i="9"/>
  <c r="D34" i="9"/>
  <c r="C20" i="9"/>
  <c r="C32" i="9" l="1"/>
  <c r="H118" i="9" s="1"/>
  <c r="J20" i="9"/>
  <c r="C103" i="9"/>
  <c r="G20" i="9"/>
  <c r="G21" i="9"/>
  <c r="C35" i="9" l="1"/>
  <c r="F118" i="9" s="1"/>
  <c r="F4" i="52" s="1"/>
  <c r="B51" i="72" s="1"/>
  <c r="C104" i="9"/>
  <c r="I118" i="9"/>
  <c r="D14" i="74"/>
  <c r="H101" i="9"/>
  <c r="H119" i="9"/>
  <c r="H5" i="52" s="1"/>
  <c r="H4" i="52"/>
  <c r="F119" i="9" l="1"/>
  <c r="F5" i="52" s="1"/>
  <c r="B53" i="72" s="1"/>
  <c r="G118" i="9"/>
  <c r="G4" i="52" s="1"/>
  <c r="B52" i="72" s="1"/>
  <c r="C34" i="9"/>
  <c r="D118" i="9" s="1"/>
  <c r="D4" i="52" s="1"/>
  <c r="B47" i="72" s="1"/>
  <c r="E14" i="74"/>
  <c r="F14" i="74"/>
  <c r="M48" i="9"/>
  <c r="H107" i="9"/>
  <c r="D45" i="9"/>
  <c r="D5" i="53"/>
  <c r="C105" i="9"/>
  <c r="I4" i="52"/>
  <c r="H102" i="9"/>
  <c r="D7" i="53" s="1"/>
  <c r="B21" i="72" s="1"/>
  <c r="E118" i="9" l="1"/>
  <c r="E4" i="52" s="1"/>
  <c r="B48" i="72" s="1"/>
  <c r="D119" i="9"/>
  <c r="D5" i="52" s="1"/>
  <c r="B49" i="72" s="1"/>
  <c r="D53" i="9"/>
  <c r="C93" i="9"/>
  <c r="C86" i="9" s="1"/>
  <c r="C78" i="9"/>
  <c r="C73" i="9" s="1"/>
  <c r="C64" i="9"/>
  <c r="C63" i="9" s="1"/>
  <c r="C67" i="9" s="1"/>
  <c r="C68" i="9" s="1"/>
  <c r="D54" i="9" s="1"/>
  <c r="D52" i="9"/>
  <c r="C85" i="9"/>
  <c r="C95" i="9" s="1"/>
  <c r="C96" i="9" s="1"/>
  <c r="E96" i="9" s="1"/>
  <c r="E97" i="9" s="1"/>
  <c r="D55" i="9"/>
  <c r="M53" i="9" s="1"/>
  <c r="C72" i="9"/>
  <c r="B20" i="72"/>
  <c r="D6" i="53"/>
  <c r="B22" i="72" s="1"/>
  <c r="M49" i="9"/>
  <c r="D122" i="9"/>
  <c r="D13" i="53"/>
  <c r="H108" i="9"/>
  <c r="D15" i="53" s="1"/>
  <c r="B31" i="72" s="1"/>
  <c r="C79" i="9" l="1"/>
  <c r="C80" i="9" s="1"/>
  <c r="E80" i="9" s="1"/>
  <c r="E81" i="9" s="1"/>
  <c r="C97" i="9"/>
  <c r="D58" i="9" s="1"/>
  <c r="D56" i="9" s="1"/>
  <c r="M54" i="9" s="1"/>
  <c r="N57" i="9" s="1"/>
  <c r="N59" i="9" s="1"/>
  <c r="D123" i="9"/>
  <c r="D9" i="52" s="1"/>
  <c r="G14" i="74"/>
  <c r="D8" i="52"/>
  <c r="D14" i="53"/>
  <c r="B32" i="72" s="1"/>
  <c r="B30" i="72"/>
  <c r="L66" i="9"/>
  <c r="M66" i="9" s="1"/>
  <c r="L65" i="9"/>
  <c r="M65" i="9" s="1"/>
  <c r="L67" i="9"/>
  <c r="M67" i="9" s="1"/>
  <c r="L68" i="9"/>
  <c r="M68" i="9" s="1"/>
  <c r="L63" i="9"/>
  <c r="M63" i="9" s="1"/>
  <c r="L64" i="9"/>
  <c r="M64" i="9" s="1"/>
  <c r="AD3" i="71"/>
  <c r="P21" i="43" s="1"/>
  <c r="P57" i="9" l="1"/>
  <c r="M69" i="9"/>
  <c r="N69" i="9" s="1"/>
  <c r="C81" i="9"/>
  <c r="N58" i="9"/>
  <c r="N60" i="9"/>
  <c r="N61" i="9"/>
  <c r="P22" i="43"/>
  <c r="P23" i="43"/>
  <c r="B71" i="39" s="1"/>
  <c r="P24" i="43"/>
  <c r="B66" i="40" s="1"/>
  <c r="P25" i="43"/>
  <c r="J19" i="9" l="1"/>
  <c r="D15" i="74" l="1"/>
  <c r="G15" i="74" s="1"/>
  <c r="B6" i="74" s="1"/>
  <c r="D6" i="74" l="1"/>
  <c r="C6" i="74"/>
  <c r="E15" i="74"/>
  <c r="F15" i="74"/>
  <c r="B5" i="74"/>
  <c r="C5" i="74" l="1"/>
  <c r="D5"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5.xml><?xml version="1.0" encoding="utf-8"?>
<comments xmlns="http://schemas.openxmlformats.org/spreadsheetml/2006/main">
  <authors>
    <author>崔锴</author>
  </authors>
  <commentList>
    <comment ref="B7" authorId="0">
      <text>
        <r>
          <rPr>
            <sz val="11"/>
            <color indexed="81"/>
            <rFont val="宋体"/>
            <family val="3"/>
            <charset val="134"/>
          </rPr>
          <t>土石方、地基处理、桩基</t>
        </r>
        <r>
          <rPr>
            <sz val="9"/>
            <color indexed="81"/>
            <rFont val="宋体"/>
            <family val="3"/>
            <charset val="134"/>
          </rPr>
          <t xml:space="preserve">
</t>
        </r>
      </text>
    </comment>
    <comment ref="B8" authorId="0">
      <text>
        <r>
          <rPr>
            <sz val="11"/>
            <color indexed="81"/>
            <rFont val="宋体"/>
            <family val="3"/>
            <charset val="134"/>
          </rPr>
          <t>包含地下结构</t>
        </r>
        <r>
          <rPr>
            <sz val="9"/>
            <color indexed="81"/>
            <rFont val="宋体"/>
            <family val="3"/>
            <charset val="134"/>
          </rPr>
          <t xml:space="preserve">
</t>
        </r>
      </text>
    </comment>
    <comment ref="B9" authorId="0">
      <text>
        <r>
          <rPr>
            <sz val="10"/>
            <color indexed="81"/>
            <rFont val="宋体"/>
            <family val="3"/>
            <charset val="134"/>
          </rPr>
          <t>装饰工程内涵为外装、公共部分装修以及室内毛胚</t>
        </r>
        <r>
          <rPr>
            <sz val="9"/>
            <color indexed="81"/>
            <rFont val="宋体"/>
            <family val="3"/>
            <charset val="134"/>
          </rPr>
          <t xml:space="preserve">
</t>
        </r>
      </text>
    </comment>
  </commentList>
</comments>
</file>

<file path=xl/sharedStrings.xml><?xml version="1.0" encoding="utf-8"?>
<sst xmlns="http://schemas.openxmlformats.org/spreadsheetml/2006/main" count="9086" uniqueCount="3419">
  <si>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</si>
  <si>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</si>
  <si>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</si>
  <si>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</si>
  <si>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</si>
  <si>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</si>
  <si>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</si>
  <si>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</si>
  <si>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</si>
  <si>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</si>
  <si>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</si>
  <si>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</si>
  <si>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</si>
  <si>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</si>
  <si>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</si>
  <si>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</si>
  <si>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</si>
  <si>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</si>
  <si>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</si>
  <si>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</si>
  <si>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</si>
  <si>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</si>
  <si>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</si>
  <si>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</si>
  <si>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</si>
  <si>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</si>
  <si>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</si>
  <si>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</si>
  <si>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</si>
  <si>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</si>
  <si>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</si>
  <si>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</si>
  <si>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</si>
  <si>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</si>
  <si>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</si>
  <si>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</si>
  <si>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</si>
  <si>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</si>
  <si>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</si>
  <si>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</si>
  <si>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</si>
  <si>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</si>
  <si>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</si>
  <si>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</si>
  <si>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</si>
  <si>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</si>
  <si>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</si>
  <si>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</si>
  <si>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</si>
  <si>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</si>
  <si>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</si>
  <si>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</si>
  <si>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</si>
  <si>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</si>
  <si>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</si>
  <si>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</si>
  <si>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</si>
  <si>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</si>
  <si>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</si>
  <si>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</si>
  <si>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</si>
  <si>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</si>
  <si>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</si>
  <si>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</si>
  <si>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</si>
  <si>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</si>
  <si>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</si>
  <si>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</si>
  <si>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</si>
  <si>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</si>
  <si>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</si>
  <si>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</si>
  <si>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</si>
  <si>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</si>
  <si>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</si>
  <si>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</si>
  <si>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</si>
  <si>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</si>
  <si>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</si>
  <si>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</si>
  <si>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</si>
  <si>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</si>
  <si>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</si>
  <si>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</si>
  <si>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</si>
  <si>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</si>
  <si>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</si>
  <si>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</si>
  <si>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</si>
  <si>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</si>
  <si>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</si>
  <si>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</si>
  <si>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</si>
  <si>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</si>
  <si>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</si>
  <si>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</si>
  <si>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</si>
  <si>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</si>
  <si>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</si>
  <si>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</si>
  <si>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</si>
  <si>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</si>
  <si>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</si>
  <si>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</si>
  <si>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</si>
  <si>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</si>
  <si>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</si>
  <si>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</si>
  <si>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</si>
  <si>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</si>
  <si>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</si>
  <si>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</si>
  <si>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</si>
  <si>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</si>
  <si>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</si>
  <si>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</si>
  <si>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</si>
  <si>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</si>
  <si>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</si>
  <si>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</si>
  <si>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</si>
  <si>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</si>
  <si>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</si>
  <si>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</si>
  <si>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</si>
  <si>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</si>
  <si>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</si>
  <si>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</si>
  <si>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</si>
  <si>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</si>
  <si>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</si>
  <si>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</si>
  <si>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</si>
  <si>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</si>
  <si>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</si>
  <si>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</si>
  <si>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</si>
  <si>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</si>
  <si>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</si>
  <si>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</si>
  <si>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</si>
  <si>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</si>
  <si>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</si>
  <si>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</si>
  <si>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</si>
  <si>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</si>
  <si>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</si>
  <si>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</si>
  <si>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</si>
  <si>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</si>
  <si>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</si>
  <si>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</si>
  <si>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</si>
  <si>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</si>
  <si>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</si>
  <si>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</si>
  <si>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</si>
  <si>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</si>
  <si>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</si>
  <si>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</si>
  <si>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</si>
  <si>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</si>
  <si>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</si>
  <si>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</si>
  <si>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</si>
  <si>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</si>
  <si>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</si>
  <si>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</si>
  <si>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</si>
  <si>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</si>
  <si>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</si>
  <si>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</si>
  <si>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</si>
  <si>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</si>
  <si>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</si>
  <si>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</si>
  <si>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</si>
  <si>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</si>
  <si>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</si>
  <si>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</si>
  <si>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</si>
  <si>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</si>
  <si>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</si>
  <si>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</si>
  <si>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</si>
  <si>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</si>
  <si>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</si>
  <si>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</si>
  <si>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</si>
  <si>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</si>
  <si>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</si>
  <si>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</si>
  <si>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</si>
  <si>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</si>
  <si>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</si>
  <si>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</si>
  <si>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</si>
  <si>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</si>
  <si>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</si>
  <si>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</si>
  <si>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</si>
  <si>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</si>
  <si>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</si>
  <si>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</si>
  <si>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</si>
  <si>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</si>
  <si>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</si>
  <si>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</si>
  <si>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</si>
  <si>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</si>
  <si>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</si>
  <si>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</si>
  <si>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</si>
  <si>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</si>
  <si>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</si>
  <si>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</si>
  <si>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</si>
  <si>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</si>
  <si>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</si>
  <si>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</si>
  <si>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</si>
  <si>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</si>
  <si>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</si>
  <si>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</si>
  <si>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</si>
  <si>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</si>
  <si>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</si>
  <si>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</si>
  <si>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</si>
  <si>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</si>
  <si>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</si>
  <si>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</si>
  <si>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</si>
  <si>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</si>
  <si>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</si>
  <si>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</si>
  <si>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</si>
  <si>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</si>
  <si>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</si>
  <si>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</si>
  <si>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</si>
  <si>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</si>
  <si>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</si>
  <si>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</si>
  <si>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</si>
  <si>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</si>
  <si>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</si>
  <si>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</si>
  <si>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</si>
  <si>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</si>
  <si>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</si>
  <si>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</si>
  <si>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</si>
  <si>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</si>
  <si>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</si>
  <si>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</si>
  <si>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</si>
  <si>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</si>
  <si>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</si>
  <si>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</si>
  <si>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</si>
  <si>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</si>
  <si>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</si>
  <si>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</si>
  <si>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</si>
  <si>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</si>
  <si>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</si>
  <si>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</si>
  <si>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</si>
  <si>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</si>
  <si>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</si>
  <si>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</si>
  <si>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</si>
  <si>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</si>
  <si>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</si>
  <si>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</si>
  <si>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</si>
  <si>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</si>
  <si>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</si>
  <si>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</si>
  <si>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</si>
  <si>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</si>
  <si>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</si>
  <si>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</si>
  <si>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</si>
  <si>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</si>
  <si>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</si>
  <si>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</si>
  <si>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</si>
  <si>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</si>
  <si>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</si>
  <si>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</si>
  <si>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</si>
  <si>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</si>
  <si>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</si>
  <si>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</si>
  <si>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</si>
  <si>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</si>
  <si>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</si>
  <si>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</si>
  <si>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</si>
  <si>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</si>
  <si>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</si>
  <si>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</si>
  <si>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</si>
  <si>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</si>
  <si>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</si>
  <si>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</si>
  <si>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</si>
  <si>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</si>
  <si>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</si>
  <si>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</si>
  <si>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</si>
  <si>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</si>
  <si>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</si>
  <si>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</si>
  <si>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</si>
  <si>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</si>
  <si>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</si>
  <si>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</si>
  <si>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</si>
  <si>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</si>
  <si>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</si>
  <si>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</si>
  <si>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</si>
  <si>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</si>
  <si>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</si>
  <si>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</si>
  <si>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</si>
  <si>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</si>
  <si>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</si>
  <si>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</si>
  <si>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</si>
  <si>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</si>
  <si>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</si>
  <si>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</si>
  <si>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</si>
  <si>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</si>
  <si>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</si>
  <si>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</si>
  <si>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</si>
  <si>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</si>
  <si>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</si>
  <si>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</si>
  <si>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</si>
  <si>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</si>
  <si>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</si>
  <si>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</si>
  <si>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</si>
  <si>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</si>
  <si>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</si>
  <si>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</si>
  <si>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</si>
  <si>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</si>
  <si>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</si>
  <si>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</si>
  <si>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</si>
  <si>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</si>
  <si>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</si>
  <si>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</si>
  <si>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</si>
  <si>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</si>
  <si>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</si>
  <si>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</si>
  <si>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</si>
  <si>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</si>
  <si>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</si>
  <si>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</si>
  <si>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</si>
  <si>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</si>
  <si>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</si>
  <si>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</si>
  <si>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</si>
  <si>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</si>
  <si>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</si>
  <si>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</si>
  <si>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</si>
  <si>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</si>
  <si>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</si>
  <si>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</si>
  <si>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</si>
  <si>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</si>
  <si>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</si>
  <si>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</si>
  <si>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</si>
  <si>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</si>
  <si>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</si>
  <si>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</si>
  <si>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</si>
  <si>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</si>
  <si>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</si>
  <si>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</si>
  <si>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</si>
  <si>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</si>
  <si>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</si>
  <si>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</si>
  <si>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</si>
  <si>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</si>
  <si>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</si>
  <si>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</si>
  <si>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</si>
  <si>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</si>
  <si>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</si>
  <si>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</si>
  <si>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</si>
  <si>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</si>
  <si>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</si>
  <si>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</si>
  <si>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</si>
  <si>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</si>
  <si>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</si>
  <si>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</si>
  <si>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</si>
  <si>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</si>
  <si>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</si>
  <si>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</si>
  <si>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</si>
  <si>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</si>
  <si>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</si>
  <si>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</si>
  <si>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</si>
  <si>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</si>
  <si>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</si>
  <si>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</si>
  <si>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</si>
  <si>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</si>
  <si>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</si>
  <si>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</si>
  <si>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</si>
  <si>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</si>
  <si>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</si>
  <si>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</si>
  <si>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</si>
  <si>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</si>
  <si>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</si>
  <si>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</si>
  <si>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</si>
  <si>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</si>
  <si>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</si>
  <si>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</si>
  <si>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</si>
  <si>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</si>
  <si>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</si>
  <si>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</si>
  <si>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</si>
  <si>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</si>
  <si>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</si>
  <si>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</si>
  <si>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</si>
  <si>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</si>
  <si>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</si>
  <si>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</si>
  <si>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</si>
  <si>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</si>
  <si>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</si>
  <si>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</si>
  <si>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</si>
  <si>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</si>
  <si>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</si>
  <si>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</si>
  <si>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</si>
  <si>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</si>
  <si>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</si>
  <si>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</si>
  <si>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</si>
  <si>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</si>
  <si>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</si>
  <si>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</si>
  <si>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</si>
  <si>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</si>
  <si>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</si>
  <si>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</si>
  <si>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</si>
  <si>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</si>
  <si>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</si>
  <si>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</si>
  <si>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</si>
  <si>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</si>
  <si>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</si>
  <si>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</si>
  <si>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</si>
  <si>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</si>
  <si>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</si>
  <si>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</si>
  <si>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</si>
  <si>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</si>
  <si>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</si>
  <si>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</si>
  <si>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</si>
  <si>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</si>
  <si>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</si>
  <si>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</si>
  <si>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</si>
  <si>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</si>
  <si>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</si>
  <si>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</si>
  <si>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</si>
  <si>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</si>
  <si>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</si>
  <si>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</si>
  <si>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</si>
  <si>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</si>
  <si>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</si>
  <si>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</si>
  <si>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</si>
  <si>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</si>
  <si>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</si>
  <si>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</si>
  <si>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</si>
  <si>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</si>
  <si>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</si>
  <si>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</si>
  <si>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</si>
  <si>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</si>
  <si>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</si>
  <si>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</si>
  <si>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</si>
  <si>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</si>
  <si>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</si>
  <si>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</si>
  <si>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</si>
  <si>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</si>
  <si>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</si>
  <si>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</si>
  <si>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</si>
  <si>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</si>
  <si>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</si>
  <si>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</si>
  <si>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</si>
  <si>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</si>
  <si>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</si>
  <si>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</si>
  <si>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</si>
  <si>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</si>
  <si>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</si>
  <si>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</si>
  <si>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</si>
  <si>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</si>
  <si>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</si>
  <si>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</si>
  <si>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</si>
  <si>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</si>
  <si>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</si>
  <si>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</si>
  <si>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</si>
  <si>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</si>
  <si>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</si>
  <si>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</si>
  <si>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</si>
  <si>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</si>
  <si>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</si>
  <si>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</si>
  <si>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</si>
  <si>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</si>
  <si>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</si>
  <si>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</si>
  <si>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</si>
  <si>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</si>
  <si>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</si>
  <si>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</si>
  <si>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</si>
  <si>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</si>
  <si>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</si>
  <si>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</si>
  <si>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</si>
  <si>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</si>
  <si>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</si>
  <si>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</si>
  <si>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</si>
  <si>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</si>
  <si>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</si>
  <si>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</si>
  <si>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</si>
  <si>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</si>
  <si>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</si>
  <si>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</si>
  <si>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</si>
  <si>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</si>
  <si>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</si>
  <si>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</si>
  <si>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</si>
  <si>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</si>
  <si>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</si>
  <si>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</si>
  <si>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</si>
  <si>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</si>
  <si>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</si>
  <si>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</si>
  <si>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</si>
  <si>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</si>
  <si>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</si>
  <si>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</si>
  <si>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</si>
  <si>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</si>
  <si>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</si>
  <si>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</si>
  <si>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</si>
  <si>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</si>
  <si>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</si>
  <si>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</si>
  <si>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</si>
  <si>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</si>
  <si>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</si>
  <si>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</si>
  <si>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</si>
  <si>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</si>
  <si>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</si>
  <si>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</si>
  <si>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</si>
  <si>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</si>
  <si>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</si>
  <si>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</si>
  <si>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</si>
  <si>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</si>
  <si>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</si>
  <si>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</si>
  <si>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</si>
  <si>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</si>
  <si>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</si>
  <si>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</si>
  <si>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</si>
  <si>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</si>
  <si>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</si>
  <si>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</si>
  <si>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</si>
  <si>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</si>
  <si>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</si>
  <si>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</si>
  <si>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</si>
  <si>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</si>
  <si>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</si>
  <si>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</si>
  <si>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</si>
  <si>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</si>
  <si>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</si>
  <si>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</si>
  <si>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</si>
  <si>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</si>
  <si>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</si>
  <si>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</si>
  <si>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</si>
  <si>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</si>
  <si>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</si>
  <si>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</si>
  <si>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</si>
  <si>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</si>
  <si>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</si>
  <si>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</si>
  <si>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</si>
  <si>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</si>
  <si>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</si>
  <si>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</si>
  <si>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</si>
  <si>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</si>
  <si>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</si>
  <si>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</si>
  <si>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</si>
  <si>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</si>
  <si>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</si>
  <si>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</si>
  <si>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</si>
  <si>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</si>
  <si>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</si>
  <si>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</si>
  <si>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</si>
  <si>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</si>
  <si>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</si>
  <si>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</si>
  <si>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</si>
  <si>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</si>
  <si>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</si>
  <si>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</si>
  <si>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</si>
  <si>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</si>
  <si>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</si>
  <si>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</si>
  <si>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</si>
  <si>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</si>
  <si>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</si>
  <si>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</si>
  <si>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</si>
  <si>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</si>
  <si>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</si>
  <si>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</si>
  <si>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</si>
  <si>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</si>
  <si>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</si>
  <si>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</si>
  <si>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</si>
  <si>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</si>
  <si>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</si>
  <si>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</si>
  <si>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</si>
  <si>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</si>
  <si>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</si>
  <si>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</si>
  <si>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</si>
  <si>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</si>
  <si>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</si>
  <si>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</si>
  <si>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</si>
  <si>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</si>
  <si>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</si>
  <si>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</si>
  <si>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</si>
  <si>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</si>
  <si>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</si>
  <si>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</si>
  <si>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</si>
  <si>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</si>
  <si>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</si>
  <si>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</si>
  <si>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</si>
  <si>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</si>
  <si>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</si>
  <si>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</si>
  <si>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</si>
  <si>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</si>
  <si>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</si>
  <si>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</si>
  <si>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</si>
  <si>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</si>
  <si>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</si>
  <si>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</si>
  <si>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</si>
  <si>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</si>
  <si>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</si>
  <si>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</si>
  <si>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</si>
  <si>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</si>
  <si>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</si>
  <si>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</si>
  <si>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</si>
  <si>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</si>
  <si>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</si>
  <si>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</si>
  <si>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</si>
  <si>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</si>
  <si>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</si>
  <si>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</si>
  <si>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</si>
  <si>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</si>
  <si>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</si>
  <si>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</si>
  <si>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</si>
  <si>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</si>
  <si>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</si>
  <si>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</si>
  <si>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</si>
  <si>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</si>
  <si>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</si>
  <si>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</si>
  <si>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</si>
  <si>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</si>
  <si>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</si>
  <si>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</si>
  <si>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</si>
  <si>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</si>
  <si>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</si>
  <si>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</si>
  <si>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</si>
  <si>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</si>
  <si>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</si>
  <si>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</si>
  <si>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</si>
  <si>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</si>
  <si>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</si>
  <si>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</si>
  <si>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</si>
  <si>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</si>
  <si>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</si>
  <si>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</si>
  <si>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</si>
  <si>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</si>
  <si>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</si>
  <si>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</si>
  <si>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</si>
  <si>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</si>
  <si>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</si>
  <si>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</si>
  <si>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</si>
  <si>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</si>
  <si>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</si>
  <si>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</si>
  <si>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</si>
  <si>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</si>
  <si>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</si>
  <si>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</si>
  <si>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</si>
  <si>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</si>
  <si>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</si>
  <si>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</si>
  <si>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</si>
  <si>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</si>
  <si>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</si>
  <si>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</si>
  <si>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</si>
  <si>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</si>
  <si>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</si>
  <si>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</si>
  <si>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</si>
  <si>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</si>
  <si>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</si>
  <si>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</si>
  <si>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</si>
  <si>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</si>
  <si>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</si>
  <si>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</si>
  <si>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</si>
  <si>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</si>
  <si>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</si>
  <si>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</si>
  <si>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</si>
  <si>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</si>
  <si>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</si>
  <si>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</si>
  <si>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</si>
  <si>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</si>
  <si>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</si>
  <si>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</si>
  <si>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</si>
  <si>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</si>
  <si>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</si>
  <si>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</si>
  <si>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</si>
  <si>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</si>
  <si>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</si>
  <si>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</si>
  <si>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</si>
  <si>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</si>
  <si>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</si>
  <si>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</si>
  <si>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</si>
  <si>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</si>
  <si>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</si>
  <si>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</si>
  <si>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</si>
  <si>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</si>
  <si>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</si>
  <si>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</si>
  <si>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</si>
  <si>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</si>
  <si>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</si>
  <si>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</si>
  <si>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</si>
  <si>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</si>
  <si>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</si>
  <si>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</si>
  <si>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</si>
  <si>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</si>
  <si>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</si>
  <si>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</si>
  <si>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</si>
  <si>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</si>
  <si>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</si>
  <si>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</si>
  <si>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</si>
  <si>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</si>
  <si>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</si>
  <si>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</si>
  <si>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</si>
  <si>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</si>
  <si>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</si>
  <si>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</si>
  <si>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</si>
  <si>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</si>
  <si>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</si>
  <si>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</si>
  <si>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</si>
  <si>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</si>
  <si>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</si>
  <si>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</si>
  <si>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</si>
  <si>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</si>
  <si>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</si>
  <si>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</si>
  <si>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</si>
  <si>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</si>
  <si>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</si>
  <si>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</si>
  <si>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</si>
  <si>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</si>
  <si>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</si>
  <si>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</si>
  <si>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</si>
  <si>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</si>
  <si>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</si>
  <si>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</si>
  <si>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</si>
  <si>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</si>
  <si>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</si>
  <si>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</si>
  <si>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</si>
  <si>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</si>
  <si>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</si>
  <si>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</si>
  <si>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</si>
  <si>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</si>
  <si>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</si>
  <si>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</si>
  <si>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</si>
  <si>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</si>
  <si>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</si>
  <si>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</si>
  <si>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</si>
  <si>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</si>
  <si>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</si>
  <si>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</si>
  <si>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</si>
  <si>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</si>
  <si>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</si>
  <si>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</si>
  <si>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</si>
  <si>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</si>
  <si>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</si>
  <si>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</si>
  <si>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</si>
  <si>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</si>
  <si>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</si>
  <si>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</si>
  <si>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</si>
  <si>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</si>
  <si>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</si>
  <si>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</si>
  <si>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</si>
  <si>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</si>
  <si>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</si>
  <si>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</si>
  <si>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</si>
  <si>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</si>
  <si>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</si>
  <si>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</si>
  <si>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</si>
  <si>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</si>
  <si>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</si>
  <si>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</si>
  <si>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</si>
  <si>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</si>
  <si>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</si>
  <si>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</si>
  <si>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</si>
  <si>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</si>
  <si>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</si>
  <si>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</si>
  <si>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</si>
  <si>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</si>
  <si>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</si>
  <si>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</si>
  <si>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</si>
  <si>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</si>
  <si>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</si>
  <si>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</si>
  <si>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</si>
  <si>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</si>
  <si>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</si>
  <si>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</si>
  <si>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</si>
  <si>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</si>
  <si>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</si>
  <si>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</si>
  <si>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</si>
  <si>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</si>
  <si>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</si>
  <si>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</si>
  <si>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</si>
  <si>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</si>
  <si>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</si>
  <si>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</si>
  <si>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</si>
  <si>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</si>
  <si>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</si>
  <si>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</si>
  <si>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</si>
  <si>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</si>
  <si>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</si>
  <si>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</si>
  <si>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</si>
  <si>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</si>
  <si>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</si>
  <si>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</si>
  <si>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</si>
  <si>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</si>
  <si>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</si>
  <si>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</si>
  <si>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</si>
  <si>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</si>
  <si>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</si>
  <si>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</si>
  <si>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</si>
  <si>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</si>
  <si>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</si>
  <si>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</si>
  <si>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</si>
  <si>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</si>
  <si>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</si>
  <si>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</si>
  <si>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</si>
  <si>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</si>
  <si>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</si>
  <si>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</si>
  <si>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</si>
  <si>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</si>
  <si>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</si>
  <si>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</si>
  <si>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</si>
  <si>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</si>
  <si>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</si>
  <si>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</si>
  <si>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</si>
  <si>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</si>
  <si>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</si>
  <si>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</si>
  <si>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</si>
  <si>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</si>
  <si>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</si>
  <si>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</si>
  <si>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</si>
  <si>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</si>
  <si>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</si>
  <si>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</si>
  <si>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</si>
  <si>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</si>
  <si>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</si>
  <si>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</si>
  <si>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</si>
  <si>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</si>
  <si>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</si>
  <si>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</si>
  <si>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</si>
  <si>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</si>
  <si>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</si>
  <si>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</si>
  <si>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</si>
  <si>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</si>
  <si>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</si>
  <si>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</si>
  <si>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</si>
  <si>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</si>
  <si>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</si>
  <si>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</si>
  <si>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</si>
  <si>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</si>
  <si>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</si>
  <si>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</si>
  <si>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</si>
  <si>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</si>
  <si>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</si>
  <si>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</si>
  <si>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</si>
  <si>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</si>
  <si>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</si>
  <si>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</si>
  <si>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</si>
  <si>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</si>
  <si>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</si>
  <si>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</si>
  <si>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</si>
  <si>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</si>
  <si>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</si>
  <si>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</si>
  <si>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</si>
  <si>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</si>
  <si>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</si>
  <si>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</si>
  <si>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</si>
  <si>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</si>
  <si>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</si>
  <si>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</si>
  <si>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</si>
  <si>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</si>
  <si>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</si>
  <si>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</si>
  <si>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</si>
  <si>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</si>
  <si>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</si>
  <si>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</si>
  <si>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</si>
  <si>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</si>
  <si>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</si>
  <si>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</si>
  <si>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</si>
  <si>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</si>
  <si>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</si>
  <si>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</si>
  <si>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</si>
  <si>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</si>
  <si>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</si>
  <si>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</si>
  <si>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</si>
  <si>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</si>
  <si>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</si>
  <si>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</si>
  <si>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</si>
  <si>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</si>
  <si>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</si>
  <si>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</si>
  <si>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</si>
  <si>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</si>
  <si>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</si>
  <si>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</si>
  <si>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</si>
  <si>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</si>
  <si>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</si>
  <si>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</si>
  <si>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</si>
  <si>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</si>
  <si>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</si>
  <si>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</si>
  <si>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</si>
  <si>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</si>
  <si>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</si>
  <si>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</si>
  <si>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</si>
  <si>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</si>
  <si>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</si>
  <si>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</si>
  <si>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</si>
  <si>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</si>
  <si>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</si>
  <si>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</si>
  <si>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</si>
  <si>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</si>
  <si>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</si>
  <si>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</si>
  <si>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</si>
  <si>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</si>
  <si>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</si>
  <si>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</si>
  <si>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</si>
  <si>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</si>
  <si>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</si>
  <si>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</si>
  <si>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</si>
  <si>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</si>
  <si>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</si>
  <si>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</si>
  <si>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</si>
  <si>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</si>
  <si>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</si>
  <si>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</si>
  <si>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</si>
  <si>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</si>
  <si>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</si>
  <si>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</si>
  <si>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</si>
  <si>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</si>
  <si>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</si>
  <si>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</si>
  <si>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</si>
  <si>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</si>
  <si>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</si>
  <si>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</si>
  <si>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</si>
  <si>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</si>
  <si>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</si>
  <si>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</si>
  <si>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</si>
  <si>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</si>
  <si>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</si>
  <si>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</si>
  <si>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</si>
  <si>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</si>
  <si>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</si>
  <si>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</si>
  <si>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</si>
  <si>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</si>
  <si>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</si>
  <si>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</si>
  <si>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</si>
  <si>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</si>
  <si>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</si>
  <si>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</si>
  <si>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</si>
  <si>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</si>
  <si>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</si>
  <si>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</si>
  <si>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</si>
  <si>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</si>
  <si>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</si>
  <si>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</si>
  <si>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</si>
  <si>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</si>
  <si>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</si>
  <si>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</si>
  <si>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</si>
  <si>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</si>
  <si>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</si>
  <si>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</si>
  <si>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</si>
  <si>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</si>
  <si>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</si>
  <si>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</si>
  <si>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</si>
  <si>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</si>
  <si>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</si>
  <si>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</si>
  <si>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</si>
  <si>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</si>
  <si>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</si>
  <si>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</si>
  <si>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</si>
  <si>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</si>
  <si>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</si>
  <si>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</si>
  <si>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</si>
  <si>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</si>
  <si>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</si>
  <si>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</si>
  <si>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</si>
  <si>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</si>
  <si>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</si>
  <si>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</si>
  <si>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</si>
  <si>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</si>
  <si>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</si>
  <si>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</si>
  <si>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</si>
  <si>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</si>
  <si>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</si>
  <si>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</si>
  <si>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</si>
  <si>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</si>
  <si>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</si>
  <si>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</si>
  <si>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</si>
  <si>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</si>
  <si>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</si>
  <si>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</si>
  <si>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</si>
  <si>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</si>
  <si>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</si>
  <si>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</si>
  <si>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</si>
  <si>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</si>
  <si>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</si>
  <si>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</si>
  <si>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</si>
  <si>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</si>
  <si>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</si>
  <si>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</si>
  <si>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</si>
  <si>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</si>
  <si>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</si>
  <si>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</si>
  <si>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</si>
  <si>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</si>
  <si>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</si>
  <si>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</si>
  <si>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</si>
  <si>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</si>
  <si>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</si>
  <si>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</si>
  <si>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</si>
  <si>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</si>
  <si>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</si>
  <si>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</si>
  <si>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</si>
  <si>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</si>
  <si>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</si>
  <si>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</si>
  <si>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</si>
  <si>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</si>
  <si>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</si>
  <si>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</si>
  <si>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</si>
  <si>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</si>
  <si>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</si>
  <si>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</si>
  <si>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</si>
  <si>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</si>
  <si>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</si>
  <si>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</si>
  <si>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</si>
  <si>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</si>
  <si>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</si>
  <si>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</si>
  <si>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</si>
  <si>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</si>
  <si>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</si>
  <si>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</si>
  <si>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</si>
  <si>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</si>
  <si>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</si>
  <si>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</si>
  <si>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</si>
  <si>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</si>
  <si>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</si>
  <si>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</si>
  <si>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</si>
  <si>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</si>
  <si>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</si>
  <si>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</si>
  <si>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</si>
  <si>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</si>
  <si>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</si>
  <si>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</si>
  <si>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</si>
  <si>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</si>
  <si>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</si>
  <si>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</si>
  <si>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</si>
  <si>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</si>
  <si>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</si>
  <si>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</si>
  <si>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</si>
  <si>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</si>
  <si>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</si>
  <si>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</si>
  <si>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</si>
  <si>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</si>
  <si>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</si>
  <si>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</si>
  <si>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</si>
  <si>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</si>
  <si>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</si>
  <si>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</si>
  <si>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</si>
  <si>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</si>
  <si>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</si>
  <si>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</si>
  <si>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</si>
  <si>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</si>
  <si>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</si>
  <si>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</si>
  <si>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</si>
  <si>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</si>
  <si>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</si>
  <si>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</si>
  <si>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</si>
  <si>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</si>
  <si>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</si>
  <si>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</si>
  <si>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</si>
  <si>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</si>
  <si>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</si>
  <si>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</si>
  <si>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</si>
  <si>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</si>
  <si>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</si>
  <si>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</si>
  <si>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</si>
  <si>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</si>
  <si>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</si>
  <si>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</si>
  <si>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</si>
  <si>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</si>
  <si>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</si>
  <si>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</si>
  <si>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</si>
  <si>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</si>
  <si>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</si>
  <si>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</si>
  <si>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</si>
  <si>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</si>
  <si>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</si>
  <si>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</si>
  <si>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</si>
  <si>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</si>
  <si>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</si>
  <si>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</si>
  <si>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</si>
  <si>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</si>
  <si>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</si>
  <si>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</si>
  <si>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</si>
  <si>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</si>
  <si>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</si>
  <si>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</si>
  <si>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</si>
  <si>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</si>
  <si>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</si>
  <si>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</si>
  <si>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</si>
  <si>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</si>
  <si>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</si>
  <si>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</si>
  <si>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</si>
  <si>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</si>
  <si>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</si>
  <si>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</si>
  <si>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</si>
  <si>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</si>
  <si>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</si>
  <si>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</si>
  <si>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</si>
  <si>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</si>
  <si>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</si>
  <si>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</si>
  <si>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</si>
  <si>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</si>
  <si>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</si>
  <si>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</si>
  <si>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</si>
  <si>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</si>
  <si>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</si>
  <si>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</si>
  <si>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</si>
  <si>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</si>
  <si>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</si>
  <si>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</si>
  <si>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</si>
  <si>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</si>
  <si>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</si>
  <si>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</si>
  <si>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</si>
  <si>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</si>
  <si>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</si>
  <si>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</si>
  <si>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</si>
  <si>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</si>
  <si>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</si>
  <si>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</si>
  <si>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</si>
  <si>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</si>
  <si>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</si>
  <si>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</si>
  <si>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</si>
  <si>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</si>
  <si>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</si>
  <si>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</si>
  <si>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</si>
  <si>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</si>
  <si>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</si>
  <si>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</si>
  <si>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</si>
  <si>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</si>
  <si>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</si>
  <si>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</si>
  <si>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</si>
  <si>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</si>
  <si>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</si>
  <si>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</si>
  <si>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</si>
  <si>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</si>
  <si>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</si>
  <si>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</si>
  <si>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</si>
  <si>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</si>
  <si>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</si>
  <si>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</si>
  <si>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</si>
  <si>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</si>
  <si>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</si>
  <si>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</si>
  <si>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</si>
  <si>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</si>
  <si>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</si>
  <si>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</si>
  <si>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</si>
  <si>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</si>
  <si>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</si>
  <si>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</si>
  <si>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</si>
  <si>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</si>
  <si>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</si>
  <si>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</si>
  <si>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</si>
  <si>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</si>
  <si>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</si>
  <si>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</si>
  <si>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</si>
  <si>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</si>
  <si>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</si>
  <si>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</si>
  <si>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</si>
  <si>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</si>
  <si>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</si>
  <si>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</si>
  <si>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</si>
  <si>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</si>
  <si>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</si>
  <si>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</si>
  <si>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</si>
  <si>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</si>
  <si>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</si>
  <si>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</si>
  <si>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</si>
  <si>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</si>
  <si>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</si>
  <si>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</si>
  <si>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</si>
  <si>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</si>
  <si>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</si>
  <si>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</si>
  <si>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</si>
  <si>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</si>
  <si>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</si>
  <si>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</si>
  <si>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</si>
  <si>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</si>
  <si>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</si>
  <si>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</si>
  <si>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</si>
  <si>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</si>
  <si>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</si>
  <si>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</si>
  <si>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</si>
  <si>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</si>
  <si>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</si>
  <si>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</si>
  <si>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</si>
  <si>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</si>
  <si>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</si>
  <si>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</si>
  <si>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</si>
  <si>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</si>
  <si>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</si>
  <si>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</si>
  <si>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</si>
  <si>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</si>
  <si>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</si>
  <si>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</si>
  <si>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</si>
  <si>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</si>
  <si>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</si>
  <si>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</si>
  <si>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</si>
  <si>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</si>
  <si>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</si>
  <si>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</si>
  <si>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</si>
  <si>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</si>
  <si>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</si>
  <si>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</si>
  <si>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</si>
  <si>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</si>
  <si>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</si>
  <si>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</si>
  <si>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</si>
  <si>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</si>
  <si>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</si>
  <si>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</si>
  <si>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</si>
  <si>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</si>
  <si>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</si>
  <si>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</si>
  <si>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</si>
  <si>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</si>
  <si>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</si>
  <si>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</si>
  <si>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</si>
  <si>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</si>
  <si>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</si>
  <si>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</si>
  <si>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</si>
  <si>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</si>
  <si>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</si>
  <si>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</si>
  <si>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</si>
  <si>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</si>
  <si>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</si>
  <si>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</si>
  <si>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</si>
  <si>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</si>
  <si>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</si>
  <si>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</si>
  <si>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</si>
  <si>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</si>
  <si>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</si>
  <si>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</si>
  <si>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</si>
  <si>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</si>
  <si>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</si>
  <si>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</si>
  <si>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</si>
  <si>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</si>
  <si>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</si>
  <si>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</si>
  <si>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</si>
  <si>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</si>
  <si>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</si>
  <si>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</si>
  <si>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</si>
  <si>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</si>
  <si>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</si>
  <si>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</si>
  <si>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</si>
  <si>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</si>
  <si>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</si>
  <si>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</si>
  <si>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</si>
  <si>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</si>
  <si>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</si>
  <si>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</si>
  <si>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</si>
  <si>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</si>
  <si>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</si>
  <si>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</si>
  <si>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</si>
  <si>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</si>
  <si>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</si>
  <si>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</si>
  <si>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</si>
  <si>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</si>
  <si>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</si>
  <si>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</si>
  <si>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</si>
  <si>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</si>
  <si>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</si>
  <si>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</si>
  <si>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</si>
  <si>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</si>
  <si>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</si>
  <si>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</si>
  <si>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</si>
  <si>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</si>
  <si>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</si>
  <si>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</si>
  <si>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</si>
  <si>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</si>
  <si>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</si>
  <si>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</si>
  <si>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</si>
  <si>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</si>
  <si>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</si>
  <si>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</si>
  <si>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</si>
  <si>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</si>
  <si>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</si>
  <si>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</si>
  <si>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</si>
  <si>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</si>
  <si>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</si>
  <si>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</si>
  <si>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</si>
  <si>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</si>
  <si>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</si>
  <si>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</si>
  <si>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</si>
  <si>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</si>
  <si>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</si>
  <si>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</si>
  <si>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</si>
  <si>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</si>
  <si>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</si>
  <si>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</si>
  <si>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</si>
  <si>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</si>
  <si>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</si>
  <si>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</si>
  <si>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</si>
  <si>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</si>
  <si>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</si>
  <si>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</si>
  <si>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</si>
  <si>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</si>
  <si>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</si>
  <si>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</si>
  <si>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</si>
  <si>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</si>
  <si>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</si>
  <si>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</si>
  <si>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</si>
  <si>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</si>
  <si>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</si>
  <si>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</si>
  <si>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</si>
  <si>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</si>
  <si>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</si>
  <si>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</si>
  <si>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</si>
  <si>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</si>
  <si>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</si>
  <si>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</si>
  <si>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</si>
  <si>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</si>
  <si>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</si>
  <si>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</si>
  <si>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</si>
  <si>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</si>
  <si>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</si>
  <si>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</si>
  <si>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</si>
  <si>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</si>
  <si>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</si>
  <si>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</si>
  <si>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</si>
  <si>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</si>
  <si>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</si>
  <si>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</si>
  <si>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</si>
  <si>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</si>
  <si>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</si>
  <si>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</si>
  <si>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</si>
  <si>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</si>
  <si>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</si>
  <si>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</si>
  <si>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</si>
  <si>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</si>
  <si>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</si>
  <si>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</si>
  <si>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</si>
  <si>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</si>
  <si>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</si>
  <si>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</si>
  <si>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</si>
  <si>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</si>
  <si>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</si>
  <si>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</si>
  <si>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</si>
  <si>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</si>
  <si>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</si>
  <si>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</si>
  <si>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</si>
  <si>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</si>
  <si>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</si>
  <si>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</si>
  <si>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</si>
  <si>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</si>
  <si>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</si>
  <si>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</si>
  <si>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</si>
  <si>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</si>
  <si>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</si>
  <si>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</si>
  <si>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</si>
  <si>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</si>
  <si>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</si>
  <si>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</si>
  <si>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</si>
  <si>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</si>
  <si>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</si>
  <si>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</si>
  <si>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</si>
  <si>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</si>
  <si>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</si>
  <si>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</si>
  <si>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</si>
  <si>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</si>
  <si>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</si>
  <si>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</si>
  <si>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</si>
  <si>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</si>
  <si>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</si>
  <si>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</si>
  <si>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</si>
  <si>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</si>
  <si>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</si>
  <si>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</si>
  <si>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</si>
  <si>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</si>
  <si>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</si>
  <si>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</si>
  <si>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</si>
  <si>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</si>
  <si>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</si>
  <si>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</si>
  <si>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</si>
  <si>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</si>
  <si>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</si>
  <si>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</si>
  <si>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</si>
  <si>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</si>
  <si>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</si>
  <si>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</si>
  <si>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</si>
  <si>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</si>
  <si>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</si>
  <si>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</si>
  <si>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</si>
  <si>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</si>
  <si>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</si>
  <si>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</si>
  <si>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</si>
  <si>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</si>
  <si>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</si>
  <si>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</si>
  <si>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</si>
  <si>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</si>
  <si>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</si>
  <si>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</si>
  <si>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</si>
  <si>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</si>
  <si>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</si>
  <si>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</si>
  <si>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</si>
  <si>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</si>
  <si>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</si>
  <si>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</si>
  <si>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</si>
  <si>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</si>
  <si>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</si>
  <si>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</si>
  <si>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</si>
  <si>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</si>
  <si>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</si>
  <si>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</si>
  <si>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</si>
  <si>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</si>
  <si>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</si>
  <si>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</si>
  <si>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</si>
  <si>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</si>
  <si>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</si>
  <si>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</si>
  <si>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</si>
  <si>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</si>
  <si>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</si>
  <si>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</si>
  <si>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</si>
  <si>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</si>
  <si>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</si>
  <si>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</si>
  <si>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</si>
  <si>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</si>
  <si>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</si>
  <si>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</si>
  <si>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</si>
  <si>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</si>
  <si>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</si>
  <si>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</si>
  <si>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</si>
  <si>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</si>
  <si>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</si>
  <si>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</si>
  <si>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原件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</si>
  <si>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</si>
  <si>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</si>
  <si>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</si>
  <si>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</si>
  <si>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</si>
  <si>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</si>
  <si>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</si>
  <si>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</si>
  <si>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</si>
  <si>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</si>
  <si>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</si>
  <si>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</si>
  <si>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</si>
  <si>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</si>
  <si>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</si>
  <si>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</si>
  <si>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</si>
  <si>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</si>
  <si>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</si>
  <si>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</si>
  <si>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</si>
  <si>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</si>
  <si>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</si>
  <si>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</si>
  <si>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</si>
  <si>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</si>
  <si>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</si>
  <si>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</si>
  <si>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</si>
  <si>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</si>
  <si>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</si>
  <si>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</si>
  <si>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</si>
  <si>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</si>
  <si>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</si>
  <si>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</si>
  <si>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</si>
  <si>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</si>
  <si>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</si>
  <si>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</si>
  <si>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</si>
  <si>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</si>
  <si>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</si>
  <si>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</si>
  <si>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</si>
  <si>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</si>
  <si>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</si>
  <si>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</si>
  <si>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</si>
  <si>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</si>
  <si>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</si>
  <si>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</si>
  <si>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</si>
  <si>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</si>
  <si>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</si>
  <si>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</si>
  <si>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</si>
  <si>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</si>
  <si>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</si>
  <si>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</si>
  <si>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</si>
  <si>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</si>
  <si>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</si>
  <si>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</si>
  <si>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</si>
  <si>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</si>
  <si>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</si>
  <si>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</si>
  <si>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</si>
  <si>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</si>
  <si>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</si>
  <si>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</si>
  <si>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</si>
  <si>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</si>
  <si>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</si>
  <si>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</si>
  <si>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</si>
  <si>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</si>
  <si>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</si>
  <si>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</si>
  <si>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</si>
  <si>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</si>
  <si>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</si>
  <si>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</si>
  <si>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</si>
  <si>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</si>
  <si>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</si>
  <si>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</si>
  <si>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</si>
  <si>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</si>
  <si>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</si>
  <si>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</si>
  <si>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</si>
  <si>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</si>
  <si>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</si>
  <si>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</si>
  <si>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</si>
  <si>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</si>
  <si>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</si>
  <si>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</si>
  <si>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</si>
  <si>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</si>
  <si>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</si>
  <si>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</si>
  <si>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</si>
  <si>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</si>
  <si>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</si>
  <si>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</si>
  <si>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</si>
  <si>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</si>
  <si>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</si>
  <si>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</si>
  <si>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</si>
  <si>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</si>
  <si>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</si>
  <si>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</si>
  <si>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</si>
  <si>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</si>
  <si>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</si>
  <si>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</si>
  <si>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</si>
  <si>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</si>
  <si>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</si>
  <si>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</si>
  <si>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</si>
  <si>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</si>
  <si>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</si>
  <si>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</si>
  <si>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</si>
  <si>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</si>
  <si>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</si>
  <si>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</si>
  <si>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</si>
  <si>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</si>
  <si>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</si>
  <si>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</si>
  <si>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</si>
  <si>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</si>
  <si>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</si>
  <si>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</si>
  <si>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</si>
  <si>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</si>
  <si>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</si>
  <si>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</si>
  <si>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</si>
  <si>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</si>
  <si>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</si>
  <si>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</si>
  <si>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</si>
  <si>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</si>
  <si>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</si>
  <si>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</si>
  <si>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</si>
  <si>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</si>
  <si>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</si>
  <si>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</si>
  <si>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</si>
  <si>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</si>
  <si>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</si>
  <si>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</si>
  <si>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</si>
  <si>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</si>
  <si>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</si>
  <si>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</si>
  <si>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</si>
  <si>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</si>
  <si>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</si>
  <si>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</si>
  <si>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</si>
  <si>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</si>
  <si>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</si>
  <si>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</si>
  <si>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</si>
  <si>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</si>
  <si>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</si>
  <si>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</si>
  <si>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</si>
  <si>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</si>
  <si>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</si>
  <si>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</si>
  <si>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</si>
  <si>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</si>
  <si>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</si>
  <si>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</si>
  <si>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</si>
  <si>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</si>
  <si>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</si>
  <si>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</si>
  <si>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</si>
  <si>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</si>
  <si>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</si>
  <si>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</si>
  <si>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</si>
  <si>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</si>
  <si>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</si>
  <si>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</si>
  <si>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</si>
  <si>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</si>
  <si>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</si>
  <si>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</si>
  <si>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</si>
  <si>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</si>
  <si>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</si>
  <si>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</si>
  <si>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</si>
  <si>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</si>
  <si>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</si>
  <si>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</si>
  <si>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</si>
  <si>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</si>
  <si>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</si>
  <si>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</si>
  <si>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</si>
  <si>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</si>
  <si>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</si>
  <si>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</si>
  <si>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</si>
  <si>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</si>
  <si>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</si>
  <si>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</si>
  <si>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</si>
  <si>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</si>
  <si>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</si>
  <si>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</si>
  <si>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</si>
  <si>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</si>
  <si>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</si>
  <si>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</si>
  <si>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</si>
  <si>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</si>
  <si>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</si>
  <si>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</si>
  <si>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</si>
  <si>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</si>
  <si>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</si>
  <si>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</si>
  <si>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</si>
  <si>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</si>
  <si>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</si>
  <si>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</si>
  <si>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</si>
  <si>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</si>
  <si>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</si>
  <si>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</si>
  <si>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</si>
  <si>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</si>
  <si>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</si>
  <si>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</si>
  <si>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</si>
  <si>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</si>
  <si>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</si>
  <si>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</si>
  <si>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</si>
  <si>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</si>
  <si>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</si>
  <si>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</si>
  <si>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</si>
  <si>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</si>
  <si>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</si>
  <si>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</si>
  <si>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</si>
  <si>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</si>
  <si>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</si>
  <si>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</si>
  <si>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</si>
  <si>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</si>
  <si>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</si>
  <si>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</si>
  <si>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</si>
  <si>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</si>
  <si>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</si>
  <si>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</si>
  <si>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</si>
  <si>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</si>
  <si>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</si>
  <si>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</si>
  <si>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</si>
  <si>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</si>
  <si>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</si>
  <si>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</si>
  <si>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</si>
  <si>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</si>
  <si>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</si>
  <si>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</si>
  <si>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</si>
  <si>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</si>
  <si>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</si>
  <si>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</si>
  <si>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</si>
  <si>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</si>
  <si>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</si>
  <si>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</si>
  <si>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</si>
  <si>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</si>
  <si>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</si>
  <si>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</si>
  <si>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</si>
  <si>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</si>
  <si>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</si>
  <si>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</si>
  <si>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</si>
  <si>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</si>
  <si>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</si>
  <si>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</si>
  <si>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</si>
  <si>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</si>
  <si>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</si>
  <si>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</si>
  <si>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</si>
  <si>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</si>
  <si>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</si>
  <si>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</si>
  <si>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</si>
  <si>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</si>
  <si>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</si>
  <si>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</si>
  <si>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</si>
  <si>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</si>
  <si>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</si>
  <si>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</si>
  <si>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</si>
  <si>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</si>
  <si>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</si>
  <si>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</si>
  <si>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</si>
  <si>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</si>
  <si>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</si>
  <si>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</si>
  <si>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</si>
  <si>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</si>
  <si>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</si>
  <si>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</si>
  <si>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</si>
  <si>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</si>
  <si>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</si>
  <si>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</si>
  <si>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</si>
  <si>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</si>
  <si>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</si>
  <si>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</si>
  <si>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</si>
  <si>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</si>
  <si>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</si>
  <si>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</si>
  <si>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</si>
  <si>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</si>
  <si>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</si>
  <si>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</si>
  <si>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</si>
  <si>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</si>
  <si>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</si>
  <si>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</si>
  <si>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</si>
  <si>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</si>
  <si>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</si>
  <si>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</si>
  <si>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</si>
  <si>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</si>
  <si>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</si>
  <si>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</si>
  <si>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</si>
  <si>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</si>
  <si>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</si>
  <si>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</si>
  <si>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</si>
  <si>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</si>
  <si>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</si>
  <si>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</si>
  <si>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</si>
  <si>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</si>
  <si>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</si>
  <si>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</si>
  <si>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</si>
  <si>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</si>
  <si>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</si>
  <si>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</si>
  <si>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</si>
  <si>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</si>
  <si>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</si>
  <si>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</si>
  <si>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</si>
  <si>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</si>
  <si>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</si>
  <si>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</si>
  <si>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</si>
  <si>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</si>
  <si>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</si>
  <si>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</si>
  <si>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</si>
  <si>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</si>
  <si>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</si>
  <si>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</si>
  <si>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</si>
  <si>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</si>
  <si>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</si>
  <si>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</si>
  <si>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</si>
  <si>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</si>
  <si>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</si>
  <si>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</si>
  <si>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</si>
  <si>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</si>
  <si>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</si>
  <si>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</si>
  <si>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</si>
  <si>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</si>
  <si>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</si>
  <si>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</si>
  <si>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</si>
  <si>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</si>
  <si>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</si>
  <si>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</si>
  <si>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</si>
  <si>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</si>
  <si>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</si>
  <si>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</si>
  <si>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</si>
  <si>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</si>
  <si>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</si>
  <si>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</si>
  <si>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</si>
  <si>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</si>
  <si>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</si>
  <si>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</si>
  <si>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</si>
  <si>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</si>
  <si>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</si>
  <si>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</si>
  <si>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</si>
  <si>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</si>
  <si>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</si>
  <si>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</si>
  <si>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</si>
  <si>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</si>
  <si>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</si>
  <si>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</si>
  <si>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</si>
  <si>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</si>
  <si>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</si>
  <si>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</si>
  <si>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</si>
  <si>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</si>
  <si>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</si>
  <si>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</si>
  <si>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</si>
  <si>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</si>
  <si>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</si>
  <si>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</si>
  <si>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</si>
  <si>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</si>
  <si>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</si>
  <si>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</si>
  <si>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</si>
  <si>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</si>
  <si>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</si>
  <si>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</si>
  <si>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</si>
  <si>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</si>
  <si>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</si>
  <si>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</si>
  <si>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</si>
  <si>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</si>
  <si>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</si>
  <si>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</si>
  <si>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</si>
  <si>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</si>
  <si>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</si>
  <si>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</si>
  <si>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</si>
  <si>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</si>
  <si>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</si>
  <si>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</si>
  <si>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</si>
  <si>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</si>
  <si>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</si>
  <si>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</si>
  <si>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</si>
  <si>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</si>
  <si>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</si>
  <si>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</si>
  <si>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</si>
  <si>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</si>
  <si>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</si>
  <si>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</si>
  <si>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</si>
  <si>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</si>
  <si>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</si>
  <si>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</si>
  <si>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</si>
  <si>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</si>
  <si>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</si>
  <si>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</si>
  <si>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</si>
  <si>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</si>
  <si>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</si>
  <si>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</si>
  <si>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</si>
  <si>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</si>
  <si>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</si>
  <si>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</si>
  <si>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</si>
  <si>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</si>
  <si>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</si>
  <si>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</si>
  <si>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</si>
  <si>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</si>
  <si>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</si>
  <si>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</si>
  <si>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</si>
  <si>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</si>
  <si>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</si>
  <si>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</si>
  <si>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</si>
  <si>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</si>
  <si>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</si>
  <si>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</si>
  <si>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</si>
  <si>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</si>
  <si>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</si>
  <si>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</si>
  <si>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</si>
  <si>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</si>
  <si>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</si>
  <si>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</si>
  <si>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</si>
  <si>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</si>
  <si>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</si>
  <si>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</si>
  <si>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</si>
  <si>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</si>
  <si>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</si>
  <si>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</si>
  <si>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</si>
  <si>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</si>
  <si>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</si>
  <si>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</si>
  <si>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</si>
  <si>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</si>
  <si>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</si>
  <si>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</si>
  <si>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</si>
  <si>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</si>
  <si>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</si>
  <si>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</si>
  <si>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</si>
  <si>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</si>
  <si>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</si>
  <si>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</si>
  <si>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</si>
  <si>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</si>
  <si>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</si>
  <si>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</si>
  <si>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</si>
  <si>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</si>
  <si>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</si>
  <si>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</si>
  <si>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</si>
  <si>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</si>
  <si>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</si>
  <si>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</si>
  <si>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</si>
  <si>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</si>
  <si>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</si>
  <si>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</si>
  <si>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</si>
  <si>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</si>
  <si>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</si>
  <si>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</si>
  <si>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</si>
  <si>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</si>
  <si>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</si>
  <si>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</si>
  <si>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</si>
  <si>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</si>
  <si>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</si>
  <si>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</si>
  <si>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</si>
  <si>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</si>
  <si>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</si>
  <si>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</si>
  <si>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</si>
  <si>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</si>
  <si>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</si>
  <si>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</si>
  <si>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</si>
  <si>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</si>
  <si>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</si>
  <si>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</si>
  <si>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</si>
  <si>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</si>
  <si>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</si>
  <si>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</si>
  <si>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</si>
  <si>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</si>
  <si>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</si>
  <si>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</si>
  <si>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</si>
  <si>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</si>
  <si>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</si>
  <si>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</si>
  <si>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</si>
  <si>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</si>
  <si>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</si>
  <si>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</si>
  <si>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</si>
  <si>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</si>
  <si>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</si>
  <si>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</si>
  <si>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</si>
  <si>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</si>
  <si>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</si>
  <si>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</si>
  <si>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</si>
  <si>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</si>
  <si>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</si>
  <si>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</si>
  <si>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</si>
  <si>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</si>
  <si>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</si>
  <si>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</si>
  <si>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</si>
  <si>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</si>
  <si>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</si>
  <si>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</si>
  <si>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</si>
  <si>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</si>
  <si>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</si>
  <si>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</si>
  <si>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</si>
  <si>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</si>
  <si>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</si>
  <si>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</si>
  <si>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</si>
  <si>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</si>
  <si>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</si>
  <si>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</si>
  <si>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</si>
  <si>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</si>
  <si>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</si>
  <si>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</si>
  <si>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</si>
  <si>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</si>
  <si>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</si>
  <si>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</si>
  <si>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</si>
  <si>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</si>
  <si>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</si>
  <si>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</si>
  <si>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</si>
  <si>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</si>
  <si>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</si>
  <si>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</si>
  <si>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</si>
  <si>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</si>
  <si>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</si>
  <si>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</si>
  <si>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</si>
  <si>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</si>
  <si>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</si>
  <si>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</si>
  <si>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</si>
  <si>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</si>
  <si>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</si>
  <si>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</si>
  <si>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</si>
  <si>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</si>
  <si>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</si>
  <si>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</si>
  <si>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</si>
  <si>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</si>
  <si>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</si>
  <si>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</si>
  <si>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</si>
  <si>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</si>
  <si>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</si>
  <si>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</si>
  <si>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</si>
  <si>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</si>
  <si>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</si>
  <si>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</si>
  <si>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</si>
  <si>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</si>
  <si>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</si>
  <si>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</si>
  <si>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</si>
  <si>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</si>
  <si>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</si>
  <si>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</si>
  <si>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</si>
  <si>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</si>
  <si>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</si>
  <si>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</si>
  <si>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</si>
  <si>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</si>
  <si>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</si>
  <si>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</si>
  <si>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</si>
  <si>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</si>
  <si>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</si>
  <si>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</si>
  <si>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</si>
  <si>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</si>
  <si>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</si>
  <si>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</si>
  <si>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</si>
  <si>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</si>
  <si>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</si>
  <si>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</si>
  <si>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</si>
  <si>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</si>
  <si>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</si>
  <si>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</si>
  <si>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</si>
  <si>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</si>
  <si>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</si>
  <si>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</si>
  <si>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</si>
  <si>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</si>
  <si>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</si>
  <si>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</si>
  <si>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</si>
  <si>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</si>
  <si>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</si>
  <si>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</si>
  <si>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</si>
  <si>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</si>
  <si>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</si>
  <si>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</si>
  <si>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</si>
  <si>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</si>
  <si>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</si>
  <si>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</si>
  <si>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</si>
  <si>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</si>
  <si>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</si>
  <si>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</si>
  <si>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</si>
  <si>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</si>
  <si>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</si>
  <si>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</si>
  <si>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</si>
  <si>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</si>
  <si>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</si>
  <si>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</si>
  <si>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</si>
  <si>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</si>
  <si>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</si>
  <si>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</si>
  <si>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</si>
  <si>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</si>
  <si>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</si>
  <si>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</si>
  <si>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</si>
  <si>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</si>
  <si>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</si>
  <si>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</si>
  <si>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</si>
  <si>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</si>
  <si>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</si>
  <si>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</si>
  <si>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</si>
  <si>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</si>
  <si>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</si>
  <si>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</si>
  <si>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</si>
  <si>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</si>
  <si>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</si>
  <si>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</si>
  <si>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</si>
  <si>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</si>
  <si>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</si>
  <si>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</si>
  <si>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</si>
  <si>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</si>
  <si>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</si>
  <si>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</si>
  <si>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</si>
  <si>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</si>
  <si>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</si>
  <si>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</si>
  <si>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</si>
  <si>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</si>
  <si>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</si>
  <si>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</si>
  <si>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</si>
  <si>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</si>
  <si>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</si>
  <si>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</si>
  <si>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</si>
  <si>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</si>
  <si>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</si>
  <si>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</si>
  <si>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</si>
  <si>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</si>
  <si>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</si>
  <si>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</si>
  <si>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</si>
  <si>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</si>
  <si>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</si>
  <si>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</si>
  <si>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</si>
  <si>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</si>
  <si>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</si>
  <si>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</si>
  <si>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</si>
  <si>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</si>
  <si>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</si>
  <si>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</si>
  <si>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</si>
  <si>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</si>
  <si>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</si>
  <si>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</si>
  <si>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</si>
  <si>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</si>
  <si>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</si>
  <si>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</si>
  <si>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</si>
  <si>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</si>
  <si>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</si>
  <si>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</si>
  <si>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</si>
  <si>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</si>
  <si>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</si>
  <si>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</si>
  <si>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</si>
  <si>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</si>
  <si>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</si>
  <si>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</si>
  <si>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</si>
  <si>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</si>
  <si>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</si>
  <si>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</si>
  <si>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</si>
  <si>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</si>
  <si>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</si>
  <si>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</si>
  <si>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</si>
  <si>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</si>
  <si>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</si>
  <si>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</si>
  <si>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</si>
  <si>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</si>
  <si>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</si>
  <si>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</si>
  <si>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</si>
  <si>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</si>
  <si>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</si>
  <si>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</si>
  <si>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</si>
  <si>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</si>
  <si>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</si>
  <si>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</si>
  <si>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</si>
  <si>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</si>
  <si>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</si>
  <si>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</si>
  <si>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</si>
  <si>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</si>
  <si>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</si>
  <si>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</si>
  <si>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</si>
  <si>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</si>
  <si>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</si>
  <si>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</si>
  <si>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</si>
  <si>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</si>
  <si>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</si>
  <si>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</si>
  <si>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</si>
  <si>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</si>
  <si>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</si>
  <si>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</si>
  <si>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</si>
  <si>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</si>
  <si>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</si>
  <si>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</si>
  <si>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</si>
  <si>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</si>
  <si>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</si>
  <si>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</si>
  <si>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</si>
  <si>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</si>
  <si>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</si>
  <si>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</si>
  <si>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</si>
  <si>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</si>
  <si>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</si>
  <si>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</si>
  <si>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</si>
  <si>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</si>
  <si>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</si>
  <si>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</si>
  <si>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</si>
  <si>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</si>
  <si>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</si>
  <si>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</si>
  <si>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</si>
  <si>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</si>
  <si>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</si>
  <si>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</si>
  <si>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</si>
  <si>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</si>
  <si>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</si>
  <si>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</si>
  <si>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</si>
  <si>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</si>
  <si>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</si>
  <si>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</si>
  <si>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</si>
  <si>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</si>
  <si>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</si>
  <si>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</si>
  <si>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</si>
  <si>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</si>
  <si>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</si>
  <si>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</si>
  <si>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</si>
  <si>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</si>
  <si>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</si>
  <si>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</si>
  <si>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</si>
  <si>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</si>
  <si>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</si>
  <si>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</si>
  <si>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</si>
  <si>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</si>
  <si>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</si>
  <si>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</si>
  <si>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</si>
  <si>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</si>
  <si>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</si>
  <si>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</si>
  <si>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</si>
  <si>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</si>
  <si>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</si>
  <si>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</si>
  <si>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</si>
  <si>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</si>
  <si>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</si>
  <si>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</si>
  <si>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</si>
  <si>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</si>
  <si>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</si>
  <si>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</si>
  <si>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</si>
  <si>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</si>
  <si>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</si>
  <si>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</si>
  <si>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</si>
  <si>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</si>
  <si>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</si>
  <si>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</si>
  <si>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</si>
  <si>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</si>
  <si>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</si>
  <si>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</si>
  <si>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</si>
  <si>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</si>
  <si>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</si>
  <si>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</si>
  <si>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</si>
  <si>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</si>
  <si>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</si>
  <si>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</si>
  <si>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</si>
  <si>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</si>
  <si>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</si>
  <si>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</si>
  <si>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</si>
  <si>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</si>
  <si>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</si>
  <si>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</si>
  <si>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</si>
  <si>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</si>
  <si>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</si>
  <si>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</si>
  <si>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</si>
  <si>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</si>
  <si>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</si>
  <si>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</si>
  <si>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</si>
  <si>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</si>
  <si>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</si>
  <si>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</si>
  <si>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</si>
  <si>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</si>
  <si>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</si>
  <si>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</si>
  <si>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</si>
  <si>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</si>
  <si>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</si>
  <si>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</si>
  <si>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</si>
  <si>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</si>
  <si>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</si>
  <si>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</si>
  <si>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</si>
  <si>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</si>
  <si>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</si>
  <si>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</si>
  <si>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</si>
  <si>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</si>
  <si>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</si>
  <si>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</si>
  <si>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</si>
  <si>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</si>
  <si>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</si>
  <si>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</si>
  <si>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</si>
  <si>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</si>
  <si>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</si>
  <si>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</si>
  <si>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</si>
  <si>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</si>
  <si>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</si>
  <si>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</si>
  <si>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</si>
  <si>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</si>
  <si>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</si>
  <si>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</si>
  <si>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</si>
  <si>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</si>
  <si>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</si>
  <si>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</si>
  <si>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</si>
  <si>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</si>
  <si>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</si>
  <si>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</si>
  <si>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</si>
  <si>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</si>
  <si>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</si>
  <si>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</si>
  <si>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</si>
  <si>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</si>
  <si>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</si>
  <si>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</si>
  <si>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</si>
  <si>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</si>
  <si>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</si>
  <si>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</si>
  <si>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</si>
  <si>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</si>
  <si>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</si>
  <si>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</si>
  <si>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</si>
  <si>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</si>
  <si>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</si>
  <si>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</si>
  <si>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</si>
  <si>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</si>
  <si>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</si>
  <si>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</si>
  <si>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</si>
  <si>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</si>
  <si>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</si>
  <si>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</si>
  <si>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</si>
  <si>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</si>
  <si>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</si>
  <si>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</si>
  <si>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</si>
  <si>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</si>
  <si>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</si>
  <si>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</si>
  <si>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</si>
  <si>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</si>
  <si>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</si>
  <si>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</si>
  <si>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</si>
  <si>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</si>
  <si>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</si>
  <si>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</si>
  <si>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</si>
  <si>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</si>
  <si>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</si>
  <si>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</si>
  <si>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</si>
  <si>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</si>
  <si>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</si>
  <si>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</si>
  <si>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</si>
  <si>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</si>
  <si>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</si>
  <si>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</si>
  <si>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</si>
  <si>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</si>
  <si>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</si>
  <si>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</si>
  <si>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</si>
  <si>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</si>
  <si>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</si>
  <si>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</si>
  <si>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</si>
  <si>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</si>
  <si>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</si>
  <si>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</si>
  <si>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</si>
  <si>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</si>
  <si>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</si>
  <si>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</si>
  <si>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</si>
  <si>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</si>
  <si>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</si>
  <si>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</si>
  <si>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</si>
  <si>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</si>
  <si>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</si>
  <si>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</si>
  <si>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</si>
  <si>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</si>
  <si>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</si>
  <si>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</si>
  <si>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</si>
  <si>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</si>
  <si>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</si>
  <si>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</si>
  <si>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</si>
  <si>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</si>
  <si>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</si>
  <si>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</si>
  <si>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</si>
  <si>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</si>
  <si>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</si>
  <si>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</si>
  <si>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</si>
  <si>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</si>
  <si>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</si>
  <si>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</si>
  <si>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</si>
  <si>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</si>
  <si>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</si>
  <si>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</si>
  <si>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</si>
  <si>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</si>
  <si>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</si>
  <si>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</si>
  <si>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</si>
  <si>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</si>
  <si>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</si>
  <si>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</si>
  <si>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</si>
  <si>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</si>
  <si>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</si>
  <si>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</si>
  <si>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</si>
  <si>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</si>
  <si>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</si>
  <si>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</si>
  <si>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</si>
  <si>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</si>
  <si>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</si>
  <si>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</si>
  <si>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</si>
  <si>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</si>
  <si>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</si>
  <si>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</si>
  <si>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</si>
  <si>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</si>
  <si>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</si>
  <si>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</si>
  <si>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</si>
  <si>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</si>
  <si>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</si>
  <si>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</si>
  <si>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</si>
  <si>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</si>
  <si>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</si>
  <si>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</si>
  <si>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</si>
  <si>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</si>
  <si>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</si>
  <si>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</si>
  <si>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</si>
  <si>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</si>
  <si>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</si>
  <si>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</si>
  <si>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</si>
  <si>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</si>
  <si>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</si>
  <si>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</si>
  <si>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</si>
  <si>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</si>
  <si>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</si>
  <si>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</si>
  <si>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</si>
  <si>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</si>
  <si>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</si>
  <si>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</si>
  <si>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</si>
  <si>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</si>
  <si>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</si>
  <si>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</si>
  <si>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</si>
  <si>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</si>
  <si>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</si>
  <si>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</si>
  <si>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</si>
  <si>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</si>
  <si>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</si>
  <si>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</si>
  <si>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</si>
  <si>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</si>
  <si>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</si>
  <si>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</si>
  <si>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</si>
  <si>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</si>
  <si>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</si>
  <si>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</si>
  <si>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</si>
  <si>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</si>
  <si>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</si>
  <si>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</si>
  <si>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</si>
  <si>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</si>
  <si>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</si>
  <si>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</si>
  <si>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</si>
  <si>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</si>
  <si>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</si>
  <si>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</si>
  <si>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</si>
  <si>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刘梅</t>
  </si>
  <si>
    <t>吴薇</t>
  </si>
  <si>
    <t>民生信托</t>
    <phoneticPr fontId="3" type="noConversion"/>
  </si>
  <si>
    <t>北京文华盛达房地产开发有限公司</t>
    <phoneticPr fontId="6" type="noConversion"/>
  </si>
  <si>
    <t>房地产抵押价值</t>
  </si>
  <si>
    <t>抵押</t>
  </si>
  <si>
    <t>北京市</t>
  </si>
  <si>
    <t>企业</t>
  </si>
  <si>
    <t>出让</t>
  </si>
  <si>
    <r>
      <rPr>
        <sz val="12"/>
        <color theme="9" tint="-0.249977111117893"/>
        <rFont val="宋体"/>
        <family val="3"/>
        <charset val="134"/>
      </rPr>
      <t>住宅</t>
    </r>
    <r>
      <rPr>
        <sz val="12"/>
        <color theme="9" tint="-0.249977111117893"/>
        <rFont val="Arial"/>
        <family val="2"/>
      </rPr>
      <t>67.9</t>
    </r>
    <r>
      <rPr>
        <sz val="12"/>
        <color theme="9" tint="-0.249977111117893"/>
        <rFont val="宋体"/>
        <family val="3"/>
        <charset val="134"/>
      </rPr>
      <t>年、地下仓储及地下车库</t>
    </r>
    <r>
      <rPr>
        <sz val="12"/>
        <color theme="9" tint="-0.249977111117893"/>
        <rFont val="Arial"/>
        <family val="2"/>
      </rPr>
      <t>47.9</t>
    </r>
    <r>
      <rPr>
        <sz val="12"/>
        <color theme="9" tint="-0.249977111117893"/>
        <rFont val="宋体"/>
        <family val="3"/>
        <charset val="134"/>
      </rPr>
      <t>年</t>
    </r>
    <phoneticPr fontId="6" type="noConversion"/>
  </si>
  <si>
    <t>住宅、地下仓储、地下车库</t>
    <phoneticPr fontId="6" type="noConversion"/>
  </si>
  <si>
    <t>西区二期商品房</t>
    <phoneticPr fontId="143" type="noConversion"/>
  </si>
  <si>
    <t>序号</t>
    <phoneticPr fontId="143" type="noConversion"/>
  </si>
  <si>
    <t>项目性质</t>
    <phoneticPr fontId="143" type="noConversion"/>
  </si>
  <si>
    <t>总建筑面积</t>
    <phoneticPr fontId="143" type="noConversion"/>
  </si>
  <si>
    <t>建筑面积</t>
    <phoneticPr fontId="143" type="noConversion"/>
  </si>
  <si>
    <t>其中</t>
    <phoneticPr fontId="143" type="noConversion"/>
  </si>
  <si>
    <t>地上</t>
    <phoneticPr fontId="143" type="noConversion"/>
  </si>
  <si>
    <t>地下</t>
    <phoneticPr fontId="143" type="noConversion"/>
  </si>
  <si>
    <t>住宅</t>
    <phoneticPr fontId="143" type="noConversion"/>
  </si>
  <si>
    <t>储藏</t>
    <phoneticPr fontId="143" type="noConversion"/>
  </si>
  <si>
    <t>设备用房</t>
    <phoneticPr fontId="143" type="noConversion"/>
  </si>
  <si>
    <t>车库</t>
    <phoneticPr fontId="143" type="noConversion"/>
  </si>
  <si>
    <t>人防</t>
    <phoneticPr fontId="143" type="noConversion"/>
  </si>
  <si>
    <t>3#住宅楼</t>
    <phoneticPr fontId="143" type="noConversion"/>
  </si>
  <si>
    <t>4#住宅楼</t>
  </si>
  <si>
    <t>6#住宅楼</t>
    <phoneticPr fontId="143" type="noConversion"/>
  </si>
  <si>
    <t>7#住宅楼</t>
  </si>
  <si>
    <t>10#住宅楼</t>
    <phoneticPr fontId="143" type="noConversion"/>
  </si>
  <si>
    <t>小计</t>
    <phoneticPr fontId="143" type="noConversion"/>
  </si>
  <si>
    <t>地下车库二期</t>
    <phoneticPr fontId="143" type="noConversion"/>
  </si>
  <si>
    <t>小计</t>
    <phoneticPr fontId="143" type="noConversion"/>
  </si>
  <si>
    <t>合计</t>
    <phoneticPr fontId="143" type="noConversion"/>
  </si>
  <si>
    <t>《工程规划许可证》证号：建字第110114201700015号</t>
    <phoneticPr fontId="143" type="noConversion"/>
  </si>
  <si>
    <t>西区三期商品房</t>
    <phoneticPr fontId="143" type="noConversion"/>
  </si>
  <si>
    <t>序号</t>
    <phoneticPr fontId="143" type="noConversion"/>
  </si>
  <si>
    <t>项目性质</t>
    <phoneticPr fontId="143" type="noConversion"/>
  </si>
  <si>
    <t>总建筑面积</t>
    <phoneticPr fontId="143" type="noConversion"/>
  </si>
  <si>
    <t>建筑面积</t>
    <phoneticPr fontId="143" type="noConversion"/>
  </si>
  <si>
    <t>其中</t>
    <phoneticPr fontId="143" type="noConversion"/>
  </si>
  <si>
    <t>地上</t>
    <phoneticPr fontId="143" type="noConversion"/>
  </si>
  <si>
    <t>地下</t>
    <phoneticPr fontId="143" type="noConversion"/>
  </si>
  <si>
    <t>住宅</t>
    <phoneticPr fontId="143" type="noConversion"/>
  </si>
  <si>
    <t>储藏</t>
    <phoneticPr fontId="143" type="noConversion"/>
  </si>
  <si>
    <t>设备用房</t>
    <phoneticPr fontId="143" type="noConversion"/>
  </si>
  <si>
    <t>车库</t>
    <phoneticPr fontId="143" type="noConversion"/>
  </si>
  <si>
    <t>11#住宅楼</t>
    <phoneticPr fontId="143" type="noConversion"/>
  </si>
  <si>
    <t>12#住宅楼</t>
  </si>
  <si>
    <t>13#住宅楼</t>
  </si>
  <si>
    <t>14#住宅楼</t>
  </si>
  <si>
    <t>15#住宅楼</t>
  </si>
  <si>
    <t>16#住宅楼</t>
  </si>
  <si>
    <t>17#住宅楼</t>
  </si>
  <si>
    <t>18#住宅楼</t>
  </si>
  <si>
    <t>19#住宅楼</t>
  </si>
  <si>
    <t>20#住宅楼</t>
  </si>
  <si>
    <t>21#住宅楼</t>
  </si>
  <si>
    <t>小计</t>
    <phoneticPr fontId="143" type="noConversion"/>
  </si>
  <si>
    <t>地下车库三期</t>
    <phoneticPr fontId="143" type="noConversion"/>
  </si>
  <si>
    <t>小计</t>
    <phoneticPr fontId="143" type="noConversion"/>
  </si>
  <si>
    <t>合计</t>
    <phoneticPr fontId="143" type="noConversion"/>
  </si>
  <si>
    <t>序号</t>
    <phoneticPr fontId="143" type="noConversion"/>
  </si>
  <si>
    <t>项目性质</t>
    <phoneticPr fontId="143" type="noConversion"/>
  </si>
  <si>
    <t>总建筑面积</t>
    <phoneticPr fontId="143" type="noConversion"/>
  </si>
  <si>
    <t>建筑面积</t>
    <phoneticPr fontId="143" type="noConversion"/>
  </si>
  <si>
    <t>其中</t>
    <phoneticPr fontId="143" type="noConversion"/>
  </si>
  <si>
    <t>地上</t>
    <phoneticPr fontId="143" type="noConversion"/>
  </si>
  <si>
    <t>地下</t>
    <phoneticPr fontId="143" type="noConversion"/>
  </si>
  <si>
    <t>住宅</t>
    <phoneticPr fontId="143" type="noConversion"/>
  </si>
  <si>
    <t>储藏</t>
    <phoneticPr fontId="143" type="noConversion"/>
  </si>
  <si>
    <t>设备用房</t>
    <phoneticPr fontId="143" type="noConversion"/>
  </si>
  <si>
    <t>车库</t>
    <phoneticPr fontId="143" type="noConversion"/>
  </si>
  <si>
    <t>人防</t>
    <phoneticPr fontId="143" type="noConversion"/>
  </si>
  <si>
    <t>5#住宅楼</t>
    <phoneticPr fontId="143" type="noConversion"/>
  </si>
  <si>
    <t>8#住宅楼</t>
    <phoneticPr fontId="143" type="noConversion"/>
  </si>
  <si>
    <t>9#住宅楼</t>
    <phoneticPr fontId="143" type="noConversion"/>
  </si>
  <si>
    <t>小计</t>
    <phoneticPr fontId="143" type="noConversion"/>
  </si>
  <si>
    <t>地下车库一期</t>
    <phoneticPr fontId="143" type="noConversion"/>
  </si>
  <si>
    <t>西区限价房</t>
    <phoneticPr fontId="143" type="noConversion"/>
  </si>
  <si>
    <t>限价商品房</t>
    <phoneticPr fontId="143" type="noConversion"/>
  </si>
  <si>
    <t>储藏间</t>
    <phoneticPr fontId="143" type="noConversion"/>
  </si>
  <si>
    <t>人防工程</t>
    <phoneticPr fontId="143" type="noConversion"/>
  </si>
  <si>
    <t>人防通道</t>
    <phoneticPr fontId="143" type="noConversion"/>
  </si>
  <si>
    <t>1#住宅楼</t>
    <phoneticPr fontId="143" type="noConversion"/>
  </si>
  <si>
    <t>2#住宅楼</t>
  </si>
  <si>
    <t>22#变电所</t>
    <phoneticPr fontId="143" type="noConversion"/>
  </si>
  <si>
    <t>23#公共厕所</t>
    <phoneticPr fontId="143" type="noConversion"/>
  </si>
  <si>
    <t>地下车库</t>
    <phoneticPr fontId="143" type="noConversion"/>
  </si>
  <si>
    <t>2#人防出入口及人防管理用房</t>
    <phoneticPr fontId="143" type="noConversion"/>
  </si>
  <si>
    <t>3#主要人防出入口</t>
    <phoneticPr fontId="143" type="noConversion"/>
  </si>
  <si>
    <t>4#主要人防出入口</t>
  </si>
  <si>
    <t>5#主要人防出入口</t>
  </si>
  <si>
    <t>6#主要人防出入口</t>
  </si>
  <si>
    <t>合计</t>
    <phoneticPr fontId="143" type="noConversion"/>
  </si>
  <si>
    <t>《工程规划许可证》证号：建字第110114201600121号</t>
    <phoneticPr fontId="143" type="noConversion"/>
  </si>
  <si>
    <t>西区劳动力安置房</t>
    <phoneticPr fontId="143" type="noConversion"/>
  </si>
  <si>
    <t>商业</t>
    <phoneticPr fontId="143" type="noConversion"/>
  </si>
  <si>
    <t>商务办公</t>
    <phoneticPr fontId="143" type="noConversion"/>
  </si>
  <si>
    <t>09-1#劳动力安置房</t>
    <phoneticPr fontId="143" type="noConversion"/>
  </si>
  <si>
    <t>西区一期商品房</t>
    <phoneticPr fontId="143" type="noConversion"/>
  </si>
  <si>
    <t>公服配套</t>
    <phoneticPr fontId="143"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</si>
  <si>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京（</t>
    </r>
    <r>
      <rPr>
        <sz val="12"/>
        <color theme="9" tint="-0.249977111117893"/>
        <rFont val="Arial"/>
        <family val="2"/>
      </rPr>
      <t>2017</t>
    </r>
    <r>
      <rPr>
        <sz val="12"/>
        <color theme="9" tint="-0.249977111117893"/>
        <rFont val="宋体"/>
        <family val="3"/>
        <charset val="134"/>
      </rPr>
      <t>）昌不动产权第</t>
    </r>
    <r>
      <rPr>
        <sz val="12"/>
        <color theme="9" tint="-0.249977111117893"/>
        <rFont val="Arial"/>
        <family val="2"/>
      </rPr>
      <t>0000006</t>
    </r>
    <r>
      <rPr>
        <sz val="12"/>
        <color theme="9" tint="-0.249977111117893"/>
        <rFont val="宋体"/>
        <family val="3"/>
        <charset val="134"/>
      </rPr>
      <t>号</t>
    </r>
    <r>
      <rPr>
        <sz val="12"/>
        <color theme="9" tint="-0.249977111117893"/>
        <rFont val="Arial"/>
        <family val="2"/>
      </rPr>
      <t>]</t>
    </r>
    <phoneticPr fontId="6" type="noConversion"/>
  </si>
  <si>
    <t>《工程规划许可证》证号：建字第110114201600094号</t>
    <phoneticPr fontId="143" type="noConversion"/>
  </si>
  <si>
    <t>《工程规划许可证》证号：建字第110114201700008号</t>
    <phoneticPr fontId="143" type="noConversion"/>
  </si>
  <si>
    <t>《工程规划许可证》证号：建字第110114201600098号</t>
    <phoneticPr fontId="143" type="noConversion"/>
  </si>
  <si>
    <r>
      <rPr>
        <sz val="12"/>
        <color theme="9" tint="-0.249977111117893"/>
        <rFont val="宋体"/>
        <family val="3"/>
        <charset val="134"/>
      </rPr>
      <t>《工程规划许可证》</t>
    </r>
    <r>
      <rPr>
        <sz val="12"/>
        <color theme="9" tint="-0.249977111117893"/>
        <rFont val="Arial"/>
        <family val="2"/>
      </rPr>
      <t>[</t>
    </r>
    <r>
      <rPr>
        <sz val="12"/>
        <color theme="9" tint="-0.249977111117893"/>
        <rFont val="宋体"/>
        <family val="3"/>
        <charset val="134"/>
      </rPr>
      <t>建字第</t>
    </r>
    <r>
      <rPr>
        <sz val="12"/>
        <color theme="9" tint="-0.249977111117893"/>
        <rFont val="Arial"/>
        <family val="2"/>
      </rPr>
      <t>110114201600094</t>
    </r>
    <r>
      <rPr>
        <sz val="12"/>
        <color theme="9" tint="-0.249977111117893"/>
        <rFont val="宋体"/>
        <family val="3"/>
        <charset val="134"/>
      </rPr>
      <t>、</t>
    </r>
    <r>
      <rPr>
        <sz val="12"/>
        <color theme="9" tint="-0.249977111117893"/>
        <rFont val="Arial"/>
        <family val="2"/>
      </rPr>
      <t>110114201600098</t>
    </r>
    <r>
      <rPr>
        <sz val="12"/>
        <color theme="9" tint="-0.249977111117893"/>
        <rFont val="宋体"/>
        <family val="3"/>
        <charset val="134"/>
      </rPr>
      <t>、</t>
    </r>
    <r>
      <rPr>
        <sz val="12"/>
        <color theme="9" tint="-0.249977111117893"/>
        <rFont val="Arial"/>
        <family val="2"/>
      </rPr>
      <t>110114201700008</t>
    </r>
    <r>
      <rPr>
        <sz val="12"/>
        <color theme="9" tint="-0.249977111117893"/>
        <rFont val="宋体"/>
        <family val="3"/>
        <charset val="134"/>
      </rPr>
      <t>、</t>
    </r>
    <r>
      <rPr>
        <sz val="12"/>
        <color theme="9" tint="-0.249977111117893"/>
        <rFont val="Arial"/>
        <family val="2"/>
      </rPr>
      <t>110114201700015</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</si>
  <si>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t>《不动产权证书》</t>
  </si>
  <si>
    <t>是</t>
  </si>
  <si>
    <t>居住项目</t>
  </si>
  <si>
    <t>含保障性住房</t>
  </si>
  <si>
    <t>在建</t>
  </si>
  <si>
    <r>
      <rPr>
        <sz val="10"/>
        <color indexed="8"/>
        <rFont val="宋体"/>
        <family val="3"/>
        <charset val="134"/>
      </rPr>
      <t>《工程规划许可证》证号：建字第</t>
    </r>
    <r>
      <rPr>
        <sz val="10"/>
        <color indexed="8"/>
        <rFont val="Arial"/>
        <family val="2"/>
      </rPr>
      <t>110114201600094</t>
    </r>
    <r>
      <rPr>
        <sz val="10"/>
        <color indexed="8"/>
        <rFont val="宋体"/>
        <family val="3"/>
        <charset val="134"/>
      </rPr>
      <t>号</t>
    </r>
    <phoneticPr fontId="3" type="noConversion"/>
  </si>
  <si>
    <t>地上</t>
  </si>
  <si>
    <t>住宅</t>
  </si>
  <si>
    <t>叠拼</t>
  </si>
  <si>
    <t>地下</t>
  </si>
  <si>
    <t>仓储</t>
  </si>
  <si>
    <t>仓储</t>
    <phoneticPr fontId="16" type="noConversion"/>
  </si>
  <si>
    <t>车库</t>
  </si>
  <si>
    <r>
      <t>2#-6#</t>
    </r>
    <r>
      <rPr>
        <sz val="10"/>
        <color indexed="8"/>
        <rFont val="宋体"/>
        <family val="3"/>
        <charset val="134"/>
      </rPr>
      <t>人防出入口</t>
    </r>
    <phoneticPr fontId="3" type="noConversion"/>
  </si>
  <si>
    <t>商品房</t>
  </si>
  <si>
    <t>商品房</t>
    <phoneticPr fontId="7" type="noConversion"/>
  </si>
  <si>
    <t>限价房</t>
  </si>
  <si>
    <t>限价房</t>
    <phoneticPr fontId="7" type="noConversion"/>
  </si>
  <si>
    <t>地下仓储</t>
  </si>
  <si>
    <t>地下仓储</t>
    <phoneticPr fontId="7" type="noConversion"/>
  </si>
  <si>
    <t>地下车库</t>
    <phoneticPr fontId="7" type="noConversion"/>
  </si>
  <si>
    <t>收益法（地下仓储）</t>
  </si>
  <si>
    <t>收益法（地下车库）</t>
  </si>
  <si>
    <t>收益法（地下车库）</t>
    <phoneticPr fontId="16" type="noConversion"/>
  </si>
  <si>
    <t>在建（套用方法）</t>
  </si>
  <si>
    <t>钢混</t>
  </si>
  <si>
    <t>非生产用房</t>
  </si>
  <si>
    <t>国瑞熙墅</t>
    <phoneticPr fontId="3" type="noConversion"/>
  </si>
  <si>
    <t>金科天玺</t>
    <phoneticPr fontId="3" type="noConversion"/>
  </si>
  <si>
    <t>龙樾华府</t>
    <phoneticPr fontId="3" type="noConversion"/>
  </si>
  <si>
    <t>北京壹号庄园</t>
    <phoneticPr fontId="3" type="noConversion"/>
  </si>
  <si>
    <t>北京市昌平区北七家镇</t>
    <phoneticPr fontId="3" type="noConversion"/>
  </si>
  <si>
    <t>常兴庄组团北部地区B地块居住项目</t>
    <phoneticPr fontId="3" type="noConversion"/>
  </si>
  <si>
    <t>昌平京藏高速北安河出口向东约5公里</t>
    <phoneticPr fontId="3" type="noConversion"/>
  </si>
  <si>
    <t>北七家镇定泗路88号</t>
    <phoneticPr fontId="3" type="noConversion"/>
  </si>
  <si>
    <t>住宅</t>
    <phoneticPr fontId="25" type="noConversion"/>
  </si>
  <si>
    <t>60-70（含）</t>
  </si>
  <si>
    <t>商品房地上建筑面积</t>
    <phoneticPr fontId="143" type="noConversion"/>
  </si>
  <si>
    <t>地上总建筑面积</t>
    <phoneticPr fontId="143" type="noConversion"/>
  </si>
  <si>
    <t>分摊土地面积</t>
    <phoneticPr fontId="143" type="noConversion"/>
  </si>
  <si>
    <t>周边居住用地比例较大、居住小区规模较大且社区发展完善程度较好，如纳帕溪谷、常兴庄等住宅小区，综合评价居住社区成熟度较好。</t>
    <phoneticPr fontId="3" type="noConversion"/>
  </si>
  <si>
    <t>周边居住用地比例大、居住小区规模大且社区发展完善程度较好，如北京城建畅悦居、平西王府、宏福苑小区等住宅小区，综合评价居住社区成熟度好。</t>
    <phoneticPr fontId="3" type="noConversion"/>
  </si>
  <si>
    <t>周边居住用地比例大、居住小区规模大且社区发展完善程度较好，如八仙别墅、北京晨浩花园、羊各庄新村等住宅小区，综合评价居住社区成熟度好。</t>
    <phoneticPr fontId="3" type="noConversion"/>
  </si>
  <si>
    <t>估价对象周边居住用地比例大、居住小区规模大且社区发展完善程度较好，如北京晨浩花园、海德堡小区、柏林在线等住宅小区，综合评价居住社区成熟度好。</t>
    <phoneticPr fontId="3" type="noConversion"/>
  </si>
  <si>
    <t>多面临街</t>
  </si>
  <si>
    <t>较好</t>
  </si>
  <si>
    <t>好</t>
  </si>
  <si>
    <t>七通</t>
  </si>
  <si>
    <t>一般</t>
  </si>
  <si>
    <t>区域自然环境：特种动物园；人文环境：无展览馆、博物馆等；综合评价环境状况一般。</t>
    <phoneticPr fontId="3" type="noConversion"/>
  </si>
  <si>
    <r>
      <rPr>
        <sz val="11"/>
        <rFont val="宋体"/>
        <family val="3"/>
        <charset val="134"/>
      </rP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phoneticPr fontId="3" type="noConversion"/>
  </si>
  <si>
    <r>
      <rPr>
        <sz val="11"/>
        <rFont val="宋体"/>
        <family val="3"/>
        <charset val="134"/>
      </rP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phoneticPr fontId="3" type="noConversion"/>
  </si>
  <si>
    <r>
      <rPr>
        <sz val="11"/>
        <rFont val="宋体"/>
        <family val="3"/>
        <charset val="134"/>
      </rPr>
      <t>周边道路路网较为密集，公共交通通达情况较好，有</t>
    </r>
    <r>
      <rPr>
        <sz val="11"/>
        <rFont val="Arial"/>
        <family val="2"/>
      </rPr>
      <t>984</t>
    </r>
    <r>
      <rPr>
        <sz val="11"/>
        <rFont val="宋体"/>
        <family val="3"/>
        <charset val="134"/>
      </rPr>
      <t>、</t>
    </r>
    <r>
      <rPr>
        <sz val="11"/>
        <rFont val="Arial"/>
        <family val="2"/>
      </rPr>
      <t>945</t>
    </r>
    <r>
      <rPr>
        <sz val="11"/>
        <rFont val="宋体"/>
        <family val="3"/>
        <charset val="134"/>
      </rPr>
      <t>路等、停车便捷程度较好，综合评价交通便捷度较好。</t>
    </r>
    <phoneticPr fontId="3" type="noConversion"/>
  </si>
  <si>
    <r>
      <rPr>
        <sz val="11"/>
        <rFont val="宋体"/>
        <family val="3"/>
        <charset val="134"/>
      </rPr>
      <t>所在区域</t>
    </r>
    <r>
      <rPr>
        <sz val="11"/>
        <rFont val="Arial"/>
        <family val="2"/>
      </rPr>
      <t>2</t>
    </r>
    <r>
      <rPr>
        <sz val="11"/>
        <rFont val="宋体"/>
        <family val="3"/>
        <charset val="134"/>
      </rPr>
      <t>公里范围内有：银行（中国银行），购物（永乐超市、世纪华联超市）、医院（北京九华医院），学校（北京九华旅游职业学校），餐饮等，公共配套设施齐备情况一般。</t>
    </r>
    <phoneticPr fontId="3" type="noConversion"/>
  </si>
  <si>
    <r>
      <rPr>
        <sz val="11"/>
        <rFont val="宋体"/>
        <family val="3"/>
        <charset val="134"/>
      </rPr>
      <t>周边道路路网较为密集，公共交通通达情况较好，有</t>
    </r>
    <r>
      <rPr>
        <sz val="11"/>
        <rFont val="Arial"/>
        <family val="2"/>
      </rPr>
      <t>417</t>
    </r>
    <r>
      <rPr>
        <sz val="11"/>
        <rFont val="宋体"/>
        <family val="3"/>
        <charset val="134"/>
      </rPr>
      <t>、</t>
    </r>
    <r>
      <rPr>
        <sz val="11"/>
        <rFont val="Arial"/>
        <family val="2"/>
      </rPr>
      <t>607</t>
    </r>
    <r>
      <rPr>
        <sz val="11"/>
        <rFont val="宋体"/>
        <family val="3"/>
        <charset val="134"/>
      </rPr>
      <t>路等、停车便捷程度较好，综合评价交通便捷度较好。</t>
    </r>
    <phoneticPr fontId="3" type="noConversion"/>
  </si>
  <si>
    <r>
      <rPr>
        <sz val="11"/>
        <rFont val="宋体"/>
        <family val="3"/>
        <charset val="134"/>
      </rPr>
      <t>周边道路路网较为密集，公共交通通达情况较好，有</t>
    </r>
    <r>
      <rPr>
        <sz val="11"/>
        <rFont val="Arial"/>
        <family val="2"/>
      </rPr>
      <t>417</t>
    </r>
    <r>
      <rPr>
        <sz val="11"/>
        <rFont val="宋体"/>
        <family val="3"/>
        <charset val="134"/>
      </rPr>
      <t>、</t>
    </r>
    <r>
      <rPr>
        <sz val="11"/>
        <rFont val="Arial"/>
        <family val="2"/>
      </rPr>
      <t>533</t>
    </r>
    <r>
      <rPr>
        <sz val="11"/>
        <rFont val="宋体"/>
        <family val="3"/>
        <charset val="134"/>
      </rPr>
      <t>路等、停车便捷程度较好，综合评价交通便捷度较好。</t>
    </r>
    <phoneticPr fontId="3" type="noConversion"/>
  </si>
  <si>
    <r>
      <rPr>
        <sz val="11"/>
        <rFont val="宋体"/>
        <family val="3"/>
        <charset val="134"/>
      </rPr>
      <t>所在区域</t>
    </r>
    <r>
      <rPr>
        <sz val="11"/>
        <rFont val="Arial"/>
        <family val="2"/>
      </rPr>
      <t>2</t>
    </r>
    <r>
      <rPr>
        <sz val="11"/>
        <rFont val="宋体"/>
        <family val="3"/>
        <charset val="134"/>
      </rPr>
      <t>公里范围内有：银行（中国邮政储蓄银行、北京农村商业银行），购物（物联隆超市、超市发超市）、医院（北七家社区卫生服务中心），学校（北京市晨星学校、伊顿双语幼儿园），餐饮等，公共配套设施齐备情况较好。</t>
    </r>
    <phoneticPr fontId="3" type="noConversion"/>
  </si>
  <si>
    <r>
      <rPr>
        <sz val="11"/>
        <rFont val="宋体"/>
        <family val="3"/>
        <charset val="134"/>
      </rPr>
      <t>所在区域</t>
    </r>
    <r>
      <rPr>
        <sz val="11"/>
        <rFont val="Arial"/>
        <family val="2"/>
      </rPr>
      <t>2</t>
    </r>
    <r>
      <rPr>
        <sz val="11"/>
        <rFont val="宋体"/>
        <family val="3"/>
        <charset val="134"/>
      </rPr>
      <t>公里范围内有：银行（北京农村商业银行、北京银行），购物（永辉超市、鑫旺超市）、医院（昌平区中西医结合医院），学校（金奥经典幼儿园），餐饮等，公共配套设施齐备情况较好。</t>
    </r>
    <phoneticPr fontId="3" type="noConversion"/>
  </si>
  <si>
    <t>区域自然环境：北京拉菲特城堡公园；人文环境：无展览馆、博物馆等；综合评价环境状况一般。</t>
    <phoneticPr fontId="3" type="noConversion"/>
  </si>
  <si>
    <t>区域自然环境：秀水湖公园；人文环境：中国邮电大学宏福校区、中央戏剧学院宏福校区等；综合评价环境状况较好。</t>
    <phoneticPr fontId="3" type="noConversion"/>
  </si>
  <si>
    <t>独栋</t>
    <phoneticPr fontId="3" type="noConversion"/>
  </si>
  <si>
    <t>类独栋</t>
    <phoneticPr fontId="3" type="noConversion"/>
  </si>
  <si>
    <t>双拼</t>
    <phoneticPr fontId="3" type="noConversion"/>
  </si>
  <si>
    <t>联排</t>
    <phoneticPr fontId="3" type="noConversion"/>
  </si>
  <si>
    <t>叠拼</t>
    <phoneticPr fontId="3" type="noConversion"/>
  </si>
  <si>
    <t>钢混</t>
    <phoneticPr fontId="3" type="noConversion"/>
  </si>
  <si>
    <t>精装修</t>
    <phoneticPr fontId="3" type="noConversion"/>
  </si>
  <si>
    <t>普通装修</t>
    <phoneticPr fontId="3" type="noConversion"/>
  </si>
  <si>
    <t>简单装修</t>
    <phoneticPr fontId="3" type="noConversion"/>
  </si>
  <si>
    <r>
      <rPr>
        <sz val="11"/>
        <rFont val="宋体"/>
        <family val="3"/>
        <charset val="134"/>
      </rPr>
      <t>毛坯</t>
    </r>
    <r>
      <rPr>
        <sz val="11"/>
        <rFont val="Arial"/>
        <family val="2"/>
      </rPr>
      <t xml:space="preserve"> </t>
    </r>
    <phoneticPr fontId="3" type="noConversion"/>
  </si>
  <si>
    <t>是</t>
    <phoneticPr fontId="3" type="noConversion"/>
  </si>
  <si>
    <t>否</t>
    <phoneticPr fontId="3" type="noConversion"/>
  </si>
  <si>
    <t xml:space="preserve">毛坯 </t>
  </si>
  <si>
    <t>精装修</t>
  </si>
  <si>
    <t>专业</t>
  </si>
  <si>
    <t>专业</t>
    <phoneticPr fontId="25" type="noConversion"/>
  </si>
  <si>
    <t>类独栋</t>
  </si>
  <si>
    <t>独栋</t>
  </si>
  <si>
    <t>昌平区南邵镇（昌平新城东区六期（东））0302-70地块</t>
    <phoneticPr fontId="3" type="noConversion"/>
  </si>
  <si>
    <t>昌平区南邵镇（昌平新城东区六期（东））0302-57地块</t>
    <phoneticPr fontId="3" type="noConversion"/>
  </si>
  <si>
    <t>昌平区北七家镇009地块R2二类居住用地</t>
    <phoneticPr fontId="3" type="noConversion"/>
  </si>
  <si>
    <t>昌平区北七家镇</t>
    <phoneticPr fontId="3" type="noConversion"/>
  </si>
  <si>
    <t>昌平区南邵镇</t>
    <phoneticPr fontId="3" type="noConversion"/>
  </si>
  <si>
    <t>国瑞熙墅西区</t>
    <phoneticPr fontId="3" type="noConversion"/>
  </si>
  <si>
    <t>70</t>
    <phoneticPr fontId="31" type="noConversion"/>
  </si>
  <si>
    <t>住宅</t>
    <phoneticPr fontId="31" type="noConversion"/>
  </si>
  <si>
    <t>公租房</t>
    <phoneticPr fontId="3" type="noConversion"/>
  </si>
  <si>
    <t>限价房、公租房</t>
    <phoneticPr fontId="3" type="noConversion"/>
  </si>
  <si>
    <t>无</t>
    <phoneticPr fontId="3" type="noConversion"/>
  </si>
  <si>
    <t>限价房</t>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</si>
  <si>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</si>
  <si>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</si>
  <si>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</si>
  <si>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</si>
  <si>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</si>
  <si>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规则</t>
    <phoneticPr fontId="3" type="noConversion"/>
  </si>
  <si>
    <t>较规则</t>
    <phoneticPr fontId="3" type="noConversion"/>
  </si>
  <si>
    <t>较不规则</t>
    <phoneticPr fontId="3" type="noConversion"/>
  </si>
  <si>
    <t>不规则</t>
    <phoneticPr fontId="3" type="noConversion"/>
  </si>
  <si>
    <t>较规则</t>
  </si>
  <si>
    <t>较不规则</t>
  </si>
  <si>
    <t>三通一平</t>
  </si>
  <si>
    <t>七通一平</t>
  </si>
  <si>
    <t>五通一平</t>
  </si>
  <si>
    <t>未包含在土地购买价格中</t>
  </si>
  <si>
    <t>已包含在土地取得成本中</t>
  </si>
  <si>
    <t>成本法</t>
  </si>
  <si>
    <t>假设开发法</t>
  </si>
  <si>
    <t>居住用地（指二类居住用地）</t>
  </si>
  <si>
    <t>按公示增长率计算</t>
  </si>
  <si>
    <t>容积率修正</t>
  </si>
  <si>
    <t>较差</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</si>
  <si>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</si>
  <si>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</si>
  <si>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</si>
  <si>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</si>
  <si>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</si>
  <si>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</si>
  <si>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</si>
  <si>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</si>
  <si>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</si>
  <si>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</si>
  <si>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</si>
  <si>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</si>
  <si>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</si>
  <si>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北京市昌平区北七家镇(未来科学城南区)C-16、CP07-0600-0023-2、0024、0025、0041-2、0042、0043地块R2二类居住用地、F3其他类多功能用地</t>
  </si>
  <si>
    <t>综合用地(含住宅)</t>
  </si>
  <si>
    <t>挂牌</t>
  </si>
  <si>
    <t>2018-01-12</t>
  </si>
  <si>
    <t>北京未来科学城昌泰置业有限公司</t>
  </si>
  <si>
    <t>北京市昌平区北七家镇CP07-0203-0007等地块R2二类居住用地、A33基础教育用地</t>
  </si>
  <si>
    <t>2017-12-21</t>
  </si>
  <si>
    <t>北京北辰地产集团有限公司和北京金隅地产开发集团有限公司联合体</t>
  </si>
  <si>
    <t>北京市昌平区北七家镇(未来科技城南区)C-52地块R2二类居住用地</t>
  </si>
  <si>
    <t>住宅用地</t>
  </si>
  <si>
    <t>2017-11-07</t>
  </si>
  <si>
    <t>北京市昌平区北七家镇东三旗村011地块R2二类居住用地</t>
  </si>
  <si>
    <t>2017-10-25</t>
  </si>
  <si>
    <t>北京首都开发股份有限公司、保利(北京)房地产开发有限公司和北京金地明城投资咨询有限公司联合体</t>
  </si>
  <si>
    <t>昌平区北七家镇003、CP07-0204-0001、010、013地块B4综合性商业金融服务业用地、A61机构养老设施用地、R2二类居住用地、A33基础教育用地</t>
  </si>
  <si>
    <t>2017-07-27</t>
  </si>
  <si>
    <t>北京润置商业运营管理有限公司</t>
  </si>
  <si>
    <t>昌平区北七家镇009地块R2二类居住用地</t>
  </si>
  <si>
    <t>2017-07-25</t>
  </si>
  <si>
    <t>北京未来科技城昌远置业有限公司</t>
  </si>
  <si>
    <t>昌平区南邵镇(昌平新城东区六期(东))0302-57地块</t>
  </si>
  <si>
    <t>2016-05-05</t>
  </si>
  <si>
    <t>北京招商局铭嘉房地产开发有限公司</t>
  </si>
  <si>
    <t>昌平区南邵镇(昌平新城东区六期(东))0302-70地块</t>
  </si>
  <si>
    <t>昌平区百善三角地项目CP00-0600-0041地块、CP00-0600-0042地块</t>
  </si>
  <si>
    <t>2015-12-15</t>
  </si>
  <si>
    <t>北京泰达和信投资管理有限公司</t>
  </si>
  <si>
    <t>昌平区小汤山镇(未来科技城北区)CP05-0801-0011、0013、0015、0017地块</t>
  </si>
  <si>
    <t>2015-11-23</t>
  </si>
  <si>
    <t>北京华润曙光房地产开发有限公司和北京未来科技城置业有限公司联合体</t>
  </si>
  <si>
    <t>昌平区小汤山镇(未来科技城北区)CP05-0801-0018、0020、0021地块</t>
  </si>
  <si>
    <t>昌平区北七家镇GZT-05-1、GZT-07、GZT-09地块(沟自头村储备开发项目西侧地块)</t>
  </si>
  <si>
    <t>2015-11-19</t>
  </si>
  <si>
    <t>北京国瑞兴业地产股份有限公司</t>
  </si>
  <si>
    <t>昌平区北七家镇GZT-05-2、GZT-04、GZT-03、GZT-10、GZT-11、GZT-12地块(沟自头村储备开发项目东侧地块)</t>
  </si>
  <si>
    <t>昌平区南邵镇(中关村科技园区昌平园东区二期)0303-07地块</t>
  </si>
  <si>
    <t>2015-10-23</t>
  </si>
  <si>
    <t>北京龙湖中佰置业有限公司、深圳市平嘉投资管理有限公司和北京昌基置业有限公司联合体</t>
  </si>
  <si>
    <t>昌平区南邵镇(中关村科技园区昌平园东区二期)0303-54地块</t>
  </si>
  <si>
    <t>福建中维房地产开发有限公司</t>
  </si>
  <si>
    <r>
      <rPr>
        <sz val="10"/>
        <rFont val="宋体"/>
        <family val="3"/>
        <charset val="134"/>
      </rPr>
      <t>估价对象：</t>
    </r>
    <phoneticPr fontId="143" type="noConversion"/>
  </si>
  <si>
    <r>
      <rPr>
        <sz val="12"/>
        <color theme="9" tint="-0.249977111117893"/>
        <rFont val="宋体"/>
        <family val="3"/>
        <charset val="134"/>
      </rPr>
      <t>昌平区北七家镇</t>
    </r>
    <r>
      <rPr>
        <sz val="12"/>
        <color theme="9" tint="-0.249977111117893"/>
        <rFont val="Arial"/>
        <family val="2"/>
      </rPr>
      <t>GZT-05-1</t>
    </r>
    <r>
      <rPr>
        <sz val="12"/>
        <color theme="9" tint="-0.249977111117893"/>
        <rFont val="宋体"/>
        <family val="3"/>
        <charset val="134"/>
      </rPr>
      <t>地块</t>
    </r>
    <phoneticPr fontId="6" type="noConversion"/>
  </si>
  <si>
    <t>建筑结构</t>
    <phoneticPr fontId="151" type="noConversion"/>
  </si>
  <si>
    <t>总建筑面积</t>
    <phoneticPr fontId="151" type="noConversion"/>
  </si>
  <si>
    <t>位置</t>
    <phoneticPr fontId="151" type="noConversion"/>
  </si>
  <si>
    <r>
      <t>建安单价</t>
    </r>
    <r>
      <rPr>
        <b/>
        <sz val="8"/>
        <color theme="1"/>
        <rFont val="宋体"/>
        <family val="3"/>
        <charset val="134"/>
        <scheme val="minor"/>
      </rPr>
      <t>（对应各自建面）</t>
    </r>
    <phoneticPr fontId="151" type="noConversion"/>
  </si>
  <si>
    <t>总额</t>
    <phoneticPr fontId="151" type="noConversion"/>
  </si>
  <si>
    <t>建筑面积</t>
    <phoneticPr fontId="151" type="noConversion"/>
  </si>
  <si>
    <t>层数</t>
    <phoneticPr fontId="151" type="noConversion"/>
  </si>
  <si>
    <t>综合单价</t>
    <phoneticPr fontId="151" type="noConversion"/>
  </si>
  <si>
    <t>（除了装修全部均摊）</t>
    <phoneticPr fontId="151" type="noConversion"/>
  </si>
  <si>
    <t>地上</t>
    <phoneticPr fontId="151" type="noConversion"/>
  </si>
  <si>
    <t>地下</t>
    <phoneticPr fontId="151" type="noConversion"/>
  </si>
  <si>
    <t>序号</t>
    <phoneticPr fontId="151" type="noConversion"/>
  </si>
  <si>
    <t>项目</t>
    <phoneticPr fontId="151" type="noConversion"/>
  </si>
  <si>
    <t>单价</t>
    <phoneticPr fontId="151" type="noConversion"/>
  </si>
  <si>
    <t>设定占比</t>
    <phoneticPr fontId="151" type="noConversion"/>
  </si>
  <si>
    <t>在建总额</t>
    <phoneticPr fontId="151" type="noConversion"/>
  </si>
  <si>
    <t>目前进度状况</t>
    <phoneticPr fontId="151" type="noConversion"/>
  </si>
  <si>
    <t>工程形象进度</t>
    <phoneticPr fontId="151" type="noConversion"/>
  </si>
  <si>
    <t>说明</t>
    <phoneticPr fontId="151" type="noConversion"/>
  </si>
  <si>
    <t>1</t>
    <phoneticPr fontId="151" type="noConversion"/>
  </si>
  <si>
    <t>建筑工程</t>
    <phoneticPr fontId="151" type="noConversion"/>
  </si>
  <si>
    <t>（1）</t>
    <phoneticPr fontId="151" type="noConversion"/>
  </si>
  <si>
    <t>基础工程</t>
    <phoneticPr fontId="151" type="noConversion"/>
  </si>
  <si>
    <t>完成</t>
    <phoneticPr fontId="151" type="noConversion"/>
  </si>
  <si>
    <t>（2）</t>
    <phoneticPr fontId="151" type="noConversion"/>
  </si>
  <si>
    <t>结构工程</t>
    <phoneticPr fontId="151" type="noConversion"/>
  </si>
  <si>
    <t>达正负零</t>
    <phoneticPr fontId="151" type="noConversion"/>
  </si>
  <si>
    <t>除按建筑比例计算外，还应考虑地下造价总额的占比</t>
    <phoneticPr fontId="151" type="noConversion"/>
  </si>
  <si>
    <t>2</t>
    <phoneticPr fontId="151" type="noConversion"/>
  </si>
  <si>
    <t>设备安装</t>
    <phoneticPr fontId="151" type="noConversion"/>
  </si>
  <si>
    <t>3</t>
    <phoneticPr fontId="151" type="noConversion"/>
  </si>
  <si>
    <t>装修</t>
    <phoneticPr fontId="151" type="noConversion"/>
  </si>
  <si>
    <t>单方造价</t>
    <phoneticPr fontId="151" type="noConversion"/>
  </si>
  <si>
    <t>地下部分装修标准</t>
    <phoneticPr fontId="151" type="noConversion"/>
  </si>
  <si>
    <t>建安费用</t>
    <phoneticPr fontId="151" type="noConversion"/>
  </si>
  <si>
    <t>录入基本信息：建筑面积、层数</t>
    <phoneticPr fontId="151" type="noConversion"/>
  </si>
  <si>
    <t>通过案例对比确定综合单方造价</t>
    <phoneticPr fontId="151" type="noConversion"/>
  </si>
  <si>
    <t>设定各单项工程占比</t>
    <phoneticPr fontId="151" type="noConversion"/>
  </si>
  <si>
    <t>设定地下部分装修标准</t>
    <phoneticPr fontId="151" type="noConversion"/>
  </si>
  <si>
    <t>得到地上、地下各自单方造价以及均摊后符合评估计算标准的综合单价</t>
    <phoneticPr fontId="151" type="noConversion"/>
  </si>
  <si>
    <t>工程形象进度</t>
    <phoneticPr fontId="151" type="noConversion"/>
  </si>
  <si>
    <t>描述各部分施工进度状况</t>
    <phoneticPr fontId="151" type="noConversion"/>
  </si>
  <si>
    <t>判断各自工程进度</t>
    <phoneticPr fontId="151" type="noConversion"/>
  </si>
  <si>
    <t>得到综合工程进度</t>
    <phoneticPr fontId="151" type="noConversion"/>
  </si>
  <si>
    <t>商品房形象进度</t>
    <phoneticPr fontId="3" type="noConversion"/>
  </si>
  <si>
    <t>一二期</t>
    <phoneticPr fontId="3" type="noConversion"/>
  </si>
  <si>
    <t>三期</t>
    <phoneticPr fontId="3" type="noConversion"/>
  </si>
  <si>
    <t>否</t>
    <phoneticPr fontId="25" type="noConversion"/>
  </si>
  <si>
    <t>是</t>
    <phoneticPr fontId="25" type="noConversion"/>
  </si>
  <si>
    <t>叠拼车位</t>
  </si>
  <si>
    <t>叠拼车位</t>
    <phoneticPr fontId="7" type="noConversion"/>
  </si>
  <si>
    <t>收益法叠拼车位</t>
  </si>
  <si>
    <t>成本比率</t>
  </si>
  <si>
    <t>设备及其他</t>
    <phoneticPr fontId="3" type="noConversion"/>
  </si>
  <si>
    <t>单价是否含车库</t>
    <phoneticPr fontId="3" type="noConversion"/>
  </si>
  <si>
    <t>估价对象所在区域基础设施水平达到“七通”。</t>
    <phoneticPr fontId="3" type="noConversion"/>
  </si>
  <si>
    <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</si>
  <si>
    <t>城市快速路</t>
    <phoneticPr fontId="31" type="noConversion"/>
  </si>
  <si>
    <t>城市主干道</t>
    <phoneticPr fontId="31" type="noConversion"/>
  </si>
  <si>
    <t>城市次干道</t>
  </si>
  <si>
    <t>城市次干道</t>
    <phoneticPr fontId="31" type="noConversion"/>
  </si>
  <si>
    <t>城市支路</t>
  </si>
  <si>
    <t>城市支路</t>
    <phoneticPr fontId="31" type="noConversion"/>
  </si>
  <si>
    <t>城市支路——沟自头街</t>
    <phoneticPr fontId="3" type="noConversion"/>
  </si>
  <si>
    <r>
      <rPr>
        <sz val="11"/>
        <rFont val="宋体"/>
        <family val="3"/>
        <charset val="134"/>
      </rPr>
      <t>城市支路</t>
    </r>
    <r>
      <rPr>
        <sz val="11"/>
        <rFont val="Arial"/>
        <family val="2"/>
      </rPr>
      <t>——</t>
    </r>
    <r>
      <rPr>
        <sz val="11"/>
        <rFont val="宋体"/>
        <family val="3"/>
        <charset val="134"/>
      </rPr>
      <t>沟自头街</t>
    </r>
    <phoneticPr fontId="31" type="noConversion"/>
  </si>
  <si>
    <t>城市次干道——南丰路</t>
    <phoneticPr fontId="31" type="noConversion"/>
  </si>
  <si>
    <t>周边居住用地比例大、居住小区规模大且社区发展完善程度较好，如中国铁建青秀尚城、兴昌佳苑、尚城汇等住宅小区，综合评价居住社区成熟度好。</t>
    <phoneticPr fontId="31" type="noConversion"/>
  </si>
  <si>
    <t>估价对象多面临街，周边道路路网较为密集，公共交通通达情况较好，有417、533路等、停车便捷程度较好，综合评价交通便捷度较好。</t>
    <phoneticPr fontId="3" type="noConversion"/>
  </si>
  <si>
    <r>
      <rPr>
        <sz val="11"/>
        <rFont val="宋体"/>
        <family val="3"/>
        <charset val="134"/>
      </rPr>
      <t>周边道路路网较为密集，公共交通通达情况较好，有</t>
    </r>
    <r>
      <rPr>
        <sz val="11"/>
        <rFont val="Arial"/>
        <family val="2"/>
      </rPr>
      <t>326</t>
    </r>
    <r>
      <rPr>
        <sz val="11"/>
        <rFont val="宋体"/>
        <family val="3"/>
        <charset val="134"/>
      </rPr>
      <t>、</t>
    </r>
    <r>
      <rPr>
        <sz val="11"/>
        <rFont val="Arial"/>
        <family val="2"/>
      </rPr>
      <t>643</t>
    </r>
    <r>
      <rPr>
        <sz val="11"/>
        <rFont val="宋体"/>
        <family val="3"/>
        <charset val="134"/>
      </rPr>
      <t>路等、停车便捷程度较好，综合评价交通便捷度较好。</t>
    </r>
    <phoneticPr fontId="31" type="noConversion"/>
  </si>
  <si>
    <t>区域内多为住宅用地，对土地利用无不利影响。</t>
    <phoneticPr fontId="3" type="noConversion"/>
  </si>
  <si>
    <t>区域内多为住宅用地，对土地利用无不利影响。</t>
    <phoneticPr fontId="31" type="noConversion"/>
  </si>
  <si>
    <t>区域自然环境：未来科技城滨河公园；人文环境：无展览馆、博物馆等；综合评价环境状况一般。</t>
    <phoneticPr fontId="3" type="noConversion"/>
  </si>
  <si>
    <t>区域自然环境：白浮泉公园；人文环境：无展览馆、博物馆等；综合评价环境状况一般。</t>
    <phoneticPr fontId="31" type="noConversion"/>
  </si>
  <si>
    <t>估价对象所在区域2公里范围内有：银行（中国银行、北京农村商业银行），购物（物联隆超市、超市发超市）、医院（北七家社区卫生服务中心），学校（北京市晨星学校、伊顿双语幼儿园），餐饮等，公共配套设施齐备情况较好。</t>
    <phoneticPr fontId="3" type="noConversion"/>
  </si>
  <si>
    <r>
      <rPr>
        <sz val="11"/>
        <rFont val="宋体"/>
        <family val="3"/>
        <charset val="134"/>
      </rPr>
      <t>所在区域</t>
    </r>
    <r>
      <rPr>
        <sz val="11"/>
        <rFont val="Arial"/>
        <family val="2"/>
      </rPr>
      <t>2</t>
    </r>
    <r>
      <rPr>
        <sz val="11"/>
        <rFont val="宋体"/>
        <family val="3"/>
        <charset val="134"/>
      </rPr>
      <t>公里范围内有：银行（兴业银行、北京农村商业银行），购物（菓岭假日广场、日百商贸中心）、医院（北京泰康燕园康复医院），学校（南邵中心小学），餐饮等，公共配套设施齐备情况较好。</t>
    </r>
    <phoneticPr fontId="31" type="noConversion"/>
  </si>
  <si>
    <t>周边居住用地比例大、居住小区规模大且社区发展完善程度较好，如名流花园、名佳花园等住宅小区，综合评价居住社区成熟度好。</t>
    <phoneticPr fontId="31" type="noConversion"/>
  </si>
  <si>
    <r>
      <rPr>
        <sz val="11"/>
        <rFont val="宋体"/>
        <family val="3"/>
        <charset val="134"/>
      </rPr>
      <t>周边道路路网较为密集，公共交通通达情况较好，有</t>
    </r>
    <r>
      <rPr>
        <sz val="11"/>
        <rFont val="Arial"/>
        <family val="2"/>
      </rPr>
      <t>417</t>
    </r>
    <r>
      <rPr>
        <sz val="11"/>
        <rFont val="宋体"/>
        <family val="3"/>
        <charset val="134"/>
      </rPr>
      <t>、</t>
    </r>
    <r>
      <rPr>
        <sz val="11"/>
        <rFont val="Arial"/>
        <family val="2"/>
      </rPr>
      <t>860</t>
    </r>
    <r>
      <rPr>
        <sz val="11"/>
        <rFont val="宋体"/>
        <family val="3"/>
        <charset val="134"/>
      </rPr>
      <t>路等、停车便捷程度较好，综合评价交通便捷度较好。</t>
    </r>
    <phoneticPr fontId="31" type="noConversion"/>
  </si>
  <si>
    <t>区域自然环境：翡翠公园；人文环境：御生堂中医药博物馆；综合评价环境状况一般。</t>
    <phoneticPr fontId="31" type="noConversion"/>
  </si>
  <si>
    <r>
      <rPr>
        <sz val="11"/>
        <rFont val="宋体"/>
        <family val="3"/>
        <charset val="134"/>
      </rPr>
      <t>所在区域</t>
    </r>
    <r>
      <rPr>
        <sz val="11"/>
        <rFont val="Arial"/>
        <family val="2"/>
      </rPr>
      <t>2</t>
    </r>
    <r>
      <rPr>
        <sz val="11"/>
        <rFont val="宋体"/>
        <family val="3"/>
        <charset val="134"/>
      </rPr>
      <t>公里范围内有：银行（、北京农村商业银行），购物（菓宝迪商业中心、华欣超市）、医院（北七家社区卫生服务中心），学校（名佳双语幼儿园），餐饮等，公共配套设施齐备情况较好。</t>
    </r>
    <phoneticPr fontId="31" type="noConversion"/>
  </si>
  <si>
    <t>不临街</t>
    <phoneticPr fontId="31" type="noConversion"/>
  </si>
  <si>
    <t>单面临街</t>
  </si>
  <si>
    <t>城市支路——现状道路</t>
    <phoneticPr fontId="31" type="noConversion"/>
  </si>
  <si>
    <t>商品房仓储</t>
  </si>
  <si>
    <t>商品房仓储</t>
    <phoneticPr fontId="7" type="noConversion"/>
  </si>
  <si>
    <t>收益法（商品房仓储）</t>
  </si>
  <si>
    <t>北京文华盛达房地产开发有限公司</t>
    <phoneticPr fontId="6" type="noConversion"/>
  </si>
  <si>
    <t>序号</t>
  </si>
  <si>
    <t>《不动产权证书》证号</t>
  </si>
  <si>
    <t>建筑面积</t>
  </si>
  <si>
    <t>依据</t>
  </si>
  <si>
    <t>建设</t>
  </si>
  <si>
    <t>内容</t>
  </si>
  <si>
    <t>分摊出让国有建设用地使用权面积</t>
  </si>
  <si>
    <t>工程进度情况</t>
  </si>
  <si>
    <t>公共配套设施</t>
  </si>
  <si>
    <t>设备及其他</t>
  </si>
  <si>
    <r>
      <t>京（</t>
    </r>
    <r>
      <rPr>
        <sz val="9"/>
        <color rgb="FF000000"/>
        <rFont val="Arial"/>
        <family val="2"/>
      </rPr>
      <t>2017</t>
    </r>
    <r>
      <rPr>
        <sz val="9"/>
        <color rgb="FF000000"/>
        <rFont val="华文细黑"/>
        <family val="3"/>
        <charset val="134"/>
      </rPr>
      <t>）昌不动产权第</t>
    </r>
    <r>
      <rPr>
        <sz val="9"/>
        <color rgb="FF000000"/>
        <rFont val="Arial"/>
        <family val="2"/>
      </rPr>
      <t>0000006</t>
    </r>
    <r>
      <rPr>
        <sz val="9"/>
        <color rgb="FF000000"/>
        <rFont val="华文细黑"/>
        <family val="3"/>
        <charset val="134"/>
      </rPr>
      <t>号</t>
    </r>
  </si>
  <si>
    <r>
      <t>京（</t>
    </r>
    <r>
      <rPr>
        <sz val="9"/>
        <color rgb="FF000000"/>
        <rFont val="Arial"/>
        <family val="2"/>
      </rPr>
      <t>2017</t>
    </r>
    <r>
      <rPr>
        <sz val="9"/>
        <color rgb="FF000000"/>
        <rFont val="华文细黑"/>
        <family val="3"/>
        <charset val="134"/>
      </rPr>
      <t>）昌不动产权第</t>
    </r>
    <r>
      <rPr>
        <sz val="9"/>
        <color rgb="FF000000"/>
        <rFont val="Arial"/>
        <family val="2"/>
      </rPr>
      <t>0000007</t>
    </r>
    <r>
      <rPr>
        <sz val="9"/>
        <color rgb="FF000000"/>
        <rFont val="华文细黑"/>
        <family val="3"/>
        <charset val="134"/>
      </rPr>
      <t>号</t>
    </r>
  </si>
  <si>
    <t>西区商业配套</t>
    <phoneticPr fontId="143" type="noConversion"/>
  </si>
  <si>
    <r>
      <t>《建筑工程规划许可证》</t>
    </r>
    <r>
      <rPr>
        <sz val="10.5"/>
        <color theme="1"/>
        <rFont val="Arial"/>
        <family val="2"/>
      </rPr>
      <t>[</t>
    </r>
    <r>
      <rPr>
        <sz val="10.5"/>
        <color theme="1"/>
        <rFont val="宋体"/>
        <family val="3"/>
        <charset val="134"/>
        <scheme val="minor"/>
      </rPr>
      <t>建字第</t>
    </r>
    <r>
      <rPr>
        <sz val="10.5"/>
        <color theme="1"/>
        <rFont val="Arial"/>
        <family val="2"/>
      </rPr>
      <t>110114201600094</t>
    </r>
    <r>
      <rPr>
        <sz val="10.5"/>
        <color theme="1"/>
        <rFont val="宋体"/>
        <family val="3"/>
        <charset val="134"/>
        <scheme val="minor"/>
      </rPr>
      <t>、</t>
    </r>
    <r>
      <rPr>
        <sz val="10.5"/>
        <color theme="1"/>
        <rFont val="Arial"/>
        <family val="2"/>
      </rPr>
      <t>110114201600098</t>
    </r>
    <r>
      <rPr>
        <sz val="10.5"/>
        <color theme="1"/>
        <rFont val="宋体"/>
        <family val="3"/>
        <charset val="134"/>
        <scheme val="minor"/>
      </rPr>
      <t>、</t>
    </r>
    <r>
      <rPr>
        <sz val="10.5"/>
        <color theme="1"/>
        <rFont val="Arial"/>
        <family val="2"/>
      </rPr>
      <t>110114201700008</t>
    </r>
    <r>
      <rPr>
        <sz val="10.5"/>
        <color theme="1"/>
        <rFont val="宋体"/>
        <family val="3"/>
        <charset val="134"/>
        <scheme val="minor"/>
      </rPr>
      <t>、</t>
    </r>
    <r>
      <rPr>
        <sz val="10.5"/>
        <color theme="1"/>
        <rFont val="Arial"/>
        <family val="2"/>
      </rPr>
      <t>110114201700015</t>
    </r>
    <r>
      <rPr>
        <sz val="10.5"/>
        <color theme="1"/>
        <rFont val="宋体"/>
        <family val="3"/>
        <charset val="134"/>
        <scheme val="minor"/>
      </rPr>
      <t>号</t>
    </r>
    <r>
      <rPr>
        <sz val="10.5"/>
        <color theme="1"/>
        <rFont val="Arial"/>
        <family val="2"/>
      </rPr>
      <t>]</t>
    </r>
    <phoneticPr fontId="143" type="noConversion"/>
  </si>
  <si>
    <t>《建设工程规划许可证》[2016规（昌）建字0048、0052号、2017规（昌）建字0004、0009号]</t>
    <phoneticPr fontId="143" type="noConversion"/>
  </si>
  <si>
    <t>GZT-05-1地块部分住宅、地下仓储、地下车库用地</t>
    <phoneticPr fontId="143" type="noConversion"/>
  </si>
  <si>
    <t>《建设工程规划许可证》[2016规（昌）建字0048、0052号、2017规（昌）建字0004、0009号]及附件、附图</t>
    <phoneticPr fontId="143" type="noConversion"/>
  </si>
  <si>
    <t>《建筑工程规划许可证》[建字第110114201600121号]</t>
    <phoneticPr fontId="143" type="noConversion"/>
  </si>
  <si>
    <t>《建设工程规划许可证》[2016规（昌）建字0067号]及附件、附图</t>
    <phoneticPr fontId="143" type="noConversion"/>
  </si>
  <si>
    <t>《建设工程规划许可证》[2016规（昌）建字0067号]及附件、附图</t>
    <phoneticPr fontId="143" type="noConversion"/>
  </si>
  <si>
    <t>正在进行土方工程。</t>
  </si>
  <si>
    <r>
      <rPr>
        <sz val="9"/>
        <color rgb="FF000000"/>
        <rFont val="宋体"/>
        <family val="3"/>
        <charset val="134"/>
      </rPr>
      <t>一期、二期商品房结构封顶，肥槽回填完成，三期</t>
    </r>
    <r>
      <rPr>
        <sz val="9"/>
        <color rgb="FF000000"/>
        <rFont val="Arial"/>
        <family val="2"/>
      </rPr>
      <t>15</t>
    </r>
    <r>
      <rPr>
        <sz val="9"/>
        <color rgb="FF000000"/>
        <rFont val="宋体"/>
        <family val="3"/>
        <charset val="134"/>
      </rPr>
      <t>、</t>
    </r>
    <r>
      <rPr>
        <sz val="9"/>
        <color rgb="FF000000"/>
        <rFont val="Arial"/>
        <family val="2"/>
      </rPr>
      <t>18</t>
    </r>
    <r>
      <rPr>
        <sz val="9"/>
        <color rgb="FF000000"/>
        <rFont val="宋体"/>
        <family val="3"/>
        <charset val="134"/>
      </rPr>
      <t>、</t>
    </r>
    <r>
      <rPr>
        <sz val="9"/>
        <color rgb="FF000000"/>
        <rFont val="Arial"/>
        <family val="2"/>
      </rPr>
      <t>19</t>
    </r>
    <r>
      <rPr>
        <sz val="9"/>
        <color rgb="FF000000"/>
        <rFont val="宋体"/>
        <family val="3"/>
        <charset val="134"/>
      </rPr>
      <t>号楼封顶，</t>
    </r>
    <r>
      <rPr>
        <sz val="9"/>
        <color rgb="FF000000"/>
        <rFont val="Arial"/>
        <family val="2"/>
      </rPr>
      <t>11</t>
    </r>
    <r>
      <rPr>
        <sz val="9"/>
        <color rgb="FF000000"/>
        <rFont val="宋体"/>
        <family val="3"/>
        <charset val="134"/>
      </rPr>
      <t>、</t>
    </r>
    <r>
      <rPr>
        <sz val="9"/>
        <color rgb="FF000000"/>
        <rFont val="Arial"/>
        <family val="2"/>
      </rPr>
      <t>16</t>
    </r>
    <r>
      <rPr>
        <sz val="9"/>
        <color rgb="FF000000"/>
        <rFont val="宋体"/>
        <family val="3"/>
        <charset val="134"/>
      </rPr>
      <t>号楼地下一层墙体绑筋，</t>
    </r>
    <r>
      <rPr>
        <sz val="9"/>
        <color rgb="FF000000"/>
        <rFont val="Arial"/>
        <family val="2"/>
      </rPr>
      <t>13</t>
    </r>
    <r>
      <rPr>
        <sz val="9"/>
        <color rgb="FF000000"/>
        <rFont val="宋体"/>
        <family val="3"/>
        <charset val="134"/>
      </rPr>
      <t>号楼一层，</t>
    </r>
    <r>
      <rPr>
        <sz val="9"/>
        <color rgb="FF000000"/>
        <rFont val="Arial"/>
        <family val="2"/>
      </rPr>
      <t>14</t>
    </r>
    <r>
      <rPr>
        <sz val="9"/>
        <color rgb="FF000000"/>
        <rFont val="宋体"/>
        <family val="3"/>
        <charset val="134"/>
      </rPr>
      <t>、</t>
    </r>
    <r>
      <rPr>
        <sz val="9"/>
        <color rgb="FF000000"/>
        <rFont val="Arial"/>
        <family val="2"/>
      </rPr>
      <t>17</t>
    </r>
    <r>
      <rPr>
        <sz val="9"/>
        <color rgb="FF000000"/>
        <rFont val="宋体"/>
        <family val="3"/>
        <charset val="134"/>
      </rPr>
      <t>号楼地下二层顶板待浇筑，</t>
    </r>
    <r>
      <rPr>
        <sz val="9"/>
        <color rgb="FF000000"/>
        <rFont val="Arial"/>
        <family val="2"/>
      </rPr>
      <t>12</t>
    </r>
    <r>
      <rPr>
        <sz val="9"/>
        <color rgb="FF000000"/>
        <rFont val="宋体"/>
        <family val="3"/>
        <charset val="134"/>
      </rPr>
      <t>、</t>
    </r>
    <r>
      <rPr>
        <sz val="9"/>
        <color rgb="FF000000"/>
        <rFont val="Arial"/>
        <family val="2"/>
      </rPr>
      <t>20</t>
    </r>
    <r>
      <rPr>
        <sz val="9"/>
        <color rgb="FF000000"/>
        <rFont val="宋体"/>
        <family val="3"/>
        <charset val="134"/>
      </rPr>
      <t>号楼清槽，</t>
    </r>
    <r>
      <rPr>
        <sz val="9"/>
        <color rgb="FF000000"/>
        <rFont val="Arial"/>
        <family val="2"/>
      </rPr>
      <t>21</t>
    </r>
    <r>
      <rPr>
        <sz val="9"/>
        <color rgb="FF000000"/>
        <rFont val="宋体"/>
        <family val="3"/>
        <charset val="134"/>
      </rPr>
      <t>号楼地下二层墙体合模，</t>
    </r>
    <r>
      <rPr>
        <sz val="9"/>
        <color rgb="FF000000"/>
        <rFont val="Arial"/>
        <family val="2"/>
      </rPr>
      <t>1#</t>
    </r>
    <r>
      <rPr>
        <sz val="9"/>
        <color rgb="FF000000"/>
        <rFont val="宋体"/>
        <family val="3"/>
        <charset val="134"/>
      </rPr>
      <t>、</t>
    </r>
    <r>
      <rPr>
        <sz val="9"/>
        <color rgb="FF000000"/>
        <rFont val="Arial"/>
        <family val="2"/>
      </rPr>
      <t>2#</t>
    </r>
    <r>
      <rPr>
        <sz val="9"/>
        <color rgb="FF000000"/>
        <rFont val="宋体"/>
        <family val="3"/>
        <charset val="134"/>
      </rPr>
      <t>封顶，屋面工程完成</t>
    </r>
    <r>
      <rPr>
        <sz val="9"/>
        <color rgb="FF000000"/>
        <rFont val="Arial"/>
        <family val="2"/>
      </rPr>
      <t>50%</t>
    </r>
    <r>
      <rPr>
        <sz val="9"/>
        <color rgb="FF000000"/>
        <rFont val="宋体"/>
        <family val="3"/>
        <charset val="134"/>
      </rPr>
      <t>。</t>
    </r>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</si>
</sst>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name val="宋体"/>
      <family val="2"/>
      <scheme val="minor"/>
    </font>
    <font>
      <sz val="11"/>
      <name val="宋体"/>
      <family val="3"/>
      <charset val="134"/>
      <scheme val="minor"/>
    </font>
    <font>
      <b/>
      <sz val="8"/>
      <color theme="1"/>
      <name val="宋体"/>
      <family val="3"/>
      <charset val="134"/>
      <scheme val="minor"/>
    </font>
    <font>
      <b/>
      <sz val="10"/>
      <color rgb="FFFFFF00"/>
      <name val="宋体"/>
      <family val="3"/>
      <charset val="134"/>
      <scheme val="minor"/>
    </font>
    <font>
      <b/>
      <u/>
      <sz val="10"/>
      <color rgb="FFFF0000"/>
      <name val="宋体"/>
      <family val="3"/>
      <charset val="134"/>
      <scheme val="minor"/>
    </font>
    <font>
      <sz val="9"/>
      <color theme="1"/>
      <name val="宋体"/>
      <family val="3"/>
      <charset val="134"/>
      <scheme val="minor"/>
    </font>
    <font>
      <sz val="9"/>
      <color rgb="FFFF0000"/>
      <name val="宋体"/>
      <family val="3"/>
      <charset val="134"/>
      <scheme val="minor"/>
    </font>
    <font>
      <b/>
      <sz val="10"/>
      <color rgb="FFFF0000"/>
      <name val="宋体"/>
      <family val="3"/>
      <charset val="134"/>
      <scheme val="minor"/>
    </font>
    <font>
      <sz val="9"/>
      <color rgb="FF000000"/>
      <name val="华文细黑"/>
      <family val="3"/>
      <charset val="134"/>
    </font>
    <font>
      <sz val="9"/>
      <color rgb="FF000000"/>
      <name val="Arial"/>
      <family val="2"/>
    </font>
    <font>
      <sz val="9"/>
      <color rgb="FF000000"/>
      <name val="宋体"/>
      <family val="3"/>
      <charset val="134"/>
    </font>
    <font>
      <sz val="10.5"/>
      <color theme="1"/>
      <name val="宋体"/>
      <family val="3"/>
      <charset val="134"/>
      <scheme val="minor"/>
    </font>
    <font>
      <sz val="10.5"/>
      <color theme="1"/>
      <name val="Arial"/>
      <family val="2"/>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theme="6"/>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medium">
        <color rgb="FF404040"/>
      </left>
      <right style="medium">
        <color rgb="FF404040"/>
      </right>
      <top style="medium">
        <color rgb="FF404040"/>
      </top>
      <bottom/>
      <diagonal/>
    </border>
    <border>
      <left style="medium">
        <color rgb="FF404040"/>
      </left>
      <right style="medium">
        <color rgb="FF404040"/>
      </right>
      <top/>
      <bottom/>
      <diagonal/>
    </border>
    <border>
      <left style="medium">
        <color rgb="FF404040"/>
      </left>
      <right style="medium">
        <color rgb="FF404040"/>
      </right>
      <top/>
      <bottom style="medium">
        <color rgb="FF404040"/>
      </bottom>
      <diagonal/>
    </border>
    <border>
      <left/>
      <right style="medium">
        <color rgb="FF404040"/>
      </right>
      <top style="medium">
        <color rgb="FF404040"/>
      </top>
      <bottom style="medium">
        <color rgb="FF404040"/>
      </bottom>
      <diagonal/>
    </border>
    <border>
      <left/>
      <right style="medium">
        <color rgb="FF404040"/>
      </right>
      <top style="medium">
        <color rgb="FF404040"/>
      </top>
      <bottom/>
      <diagonal/>
    </border>
    <border>
      <left/>
      <right style="medium">
        <color rgb="FF404040"/>
      </right>
      <top/>
      <bottom/>
      <diagonal/>
    </border>
    <border>
      <left/>
      <right style="medium">
        <color rgb="FF404040"/>
      </right>
      <top/>
      <bottom style="medium">
        <color rgb="FF404040"/>
      </bottom>
      <diagonal/>
    </border>
    <border>
      <left/>
      <right/>
      <top style="medium">
        <color rgb="FF404040"/>
      </top>
      <bottom style="medium">
        <color rgb="FF404040"/>
      </bottom>
      <diagonal/>
    </border>
    <border>
      <left style="medium">
        <color rgb="FF404040"/>
      </left>
      <right/>
      <top style="medium">
        <color rgb="FF404040"/>
      </top>
      <bottom style="medium">
        <color rgb="FF404040"/>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56" fillId="0" borderId="0"/>
  </cellStyleXfs>
  <cellXfs count="345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4"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90" fillId="7" borderId="5" xfId="0" applyFont="1" applyFill="1" applyBorder="1" applyAlignment="1" applyProtection="1">
      <alignment vertical="center"/>
      <protection locked="0"/>
    </xf>
    <xf numFmtId="0" fontId="190" fillId="7" borderId="151" xfId="0" applyFont="1" applyFill="1" applyBorder="1" applyAlignment="1" applyProtection="1">
      <alignment vertical="center"/>
      <protection locked="0"/>
    </xf>
    <xf numFmtId="0" fontId="0" fillId="0" borderId="0" xfId="0" applyAlignment="1">
      <alignment horizontal="left"/>
    </xf>
    <xf numFmtId="0" fontId="0" fillId="0" borderId="0" xfId="0" applyAlignment="1">
      <alignment horizontal="center"/>
    </xf>
    <xf numFmtId="0" fontId="0" fillId="17" borderId="0" xfId="0" applyFill="1" applyAlignment="1">
      <alignment horizontal="left"/>
    </xf>
    <xf numFmtId="0" fontId="0" fillId="17" borderId="0" xfId="0" applyFill="1" applyAlignment="1">
      <alignment horizontal="center"/>
    </xf>
    <xf numFmtId="0" fontId="0" fillId="0" borderId="1" xfId="0" applyBorder="1" applyAlignment="1">
      <alignment horizontal="center"/>
    </xf>
    <xf numFmtId="0" fontId="0" fillId="0" borderId="1" xfId="0" applyFill="1" applyBorder="1" applyAlignment="1">
      <alignment horizontal="center"/>
    </xf>
    <xf numFmtId="0" fontId="0" fillId="0" borderId="0" xfId="0" applyFill="1" applyAlignment="1"/>
    <xf numFmtId="0" fontId="0" fillId="0" borderId="5" xfId="0" applyBorder="1" applyAlignment="1">
      <alignment horizontal="center"/>
    </xf>
    <xf numFmtId="0" fontId="0" fillId="0" borderId="1" xfId="0" applyBorder="1" applyAlignment="1"/>
    <xf numFmtId="0" fontId="100" fillId="0" borderId="1" xfId="0" applyFont="1" applyBorder="1" applyAlignment="1">
      <alignment horizontal="center"/>
    </xf>
    <xf numFmtId="0" fontId="100" fillId="0" borderId="5" xfId="0" applyFont="1" applyBorder="1" applyAlignment="1">
      <alignment horizontal="center"/>
    </xf>
    <xf numFmtId="0" fontId="100" fillId="0" borderId="0" xfId="0" applyFont="1" applyFill="1" applyBorder="1" applyAlignment="1">
      <alignment horizontal="center"/>
    </xf>
    <xf numFmtId="0" fontId="0" fillId="0" borderId="0" xfId="0" applyFill="1" applyBorder="1" applyAlignment="1"/>
    <xf numFmtId="0" fontId="254" fillId="17" borderId="0" xfId="0" applyFont="1" applyFill="1" applyAlignment="1">
      <alignment horizontal="left"/>
    </xf>
    <xf numFmtId="0" fontId="255" fillId="17" borderId="0" xfId="0" applyFont="1" applyFill="1" applyAlignment="1">
      <alignment horizontal="center"/>
    </xf>
    <xf numFmtId="0" fontId="0" fillId="0" borderId="0" xfId="0" applyBorder="1" applyAlignment="1"/>
    <xf numFmtId="0" fontId="100" fillId="0" borderId="0" xfId="0" applyFont="1" applyAlignment="1">
      <alignment horizontal="center"/>
    </xf>
    <xf numFmtId="0" fontId="0" fillId="0" borderId="13" xfId="0" applyBorder="1" applyAlignment="1">
      <alignment horizontal="center"/>
    </xf>
    <xf numFmtId="0" fontId="100" fillId="0" borderId="15" xfId="0" applyFont="1" applyBorder="1" applyAlignment="1">
      <alignment horizontal="center"/>
    </xf>
    <xf numFmtId="0" fontId="100" fillId="0" borderId="3"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Fill="1" applyBorder="1" applyAlignment="1">
      <alignment horizontal="center"/>
    </xf>
    <xf numFmtId="0" fontId="100" fillId="0" borderId="0" xfId="0" applyFont="1" applyBorder="1" applyAlignment="1">
      <alignment horizontal="center"/>
    </xf>
    <xf numFmtId="0" fontId="99" fillId="0" borderId="1" xfId="0" applyFont="1" applyFill="1" applyBorder="1" applyAlignment="1">
      <alignment horizontal="center"/>
    </xf>
    <xf numFmtId="0" fontId="99" fillId="0" borderId="1" xfId="0" applyFont="1" applyBorder="1" applyAlignment="1">
      <alignment horizontal="center"/>
    </xf>
    <xf numFmtId="0" fontId="99" fillId="0" borderId="0" xfId="0" applyFont="1" applyAlignment="1">
      <alignment horizontal="left"/>
    </xf>
    <xf numFmtId="49" fontId="50" fillId="0" borderId="1" xfId="0" applyNumberFormat="1" applyFont="1" applyBorder="1" applyAlignment="1" applyProtection="1">
      <alignment horizontal="center" vertical="center" wrapText="1"/>
      <protection locked="0"/>
    </xf>
    <xf numFmtId="0" fontId="50" fillId="0" borderId="2" xfId="0" applyFont="1" applyBorder="1" applyAlignment="1" applyProtection="1">
      <alignment horizontal="center" vertical="center" wrapText="1"/>
      <protection locked="0"/>
    </xf>
    <xf numFmtId="0" fontId="50" fillId="5" borderId="2" xfId="0"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177" fontId="137" fillId="0" borderId="1" xfId="1" applyNumberFormat="1" applyFont="1" applyFill="1" applyBorder="1" applyAlignment="1" applyProtection="1">
      <alignment vertical="center"/>
      <protection locked="0"/>
    </xf>
    <xf numFmtId="0" fontId="137" fillId="0" borderId="51" xfId="0" applyNumberFormat="1" applyFont="1" applyFill="1" applyBorder="1" applyAlignment="1" applyProtection="1">
      <alignment horizontal="center" vertical="center" wrapText="1"/>
      <protection locked="0"/>
    </xf>
    <xf numFmtId="0" fontId="99" fillId="0" borderId="0" xfId="0" applyFont="1" applyAlignment="1">
      <alignment horizontal="center"/>
    </xf>
    <xf numFmtId="49" fontId="98" fillId="0" borderId="40" xfId="0" applyNumberFormat="1" applyFont="1" applyFill="1" applyBorder="1" applyAlignment="1" applyProtection="1">
      <alignment horizontal="center" vertical="center" wrapText="1"/>
      <protection locked="0"/>
    </xf>
    <xf numFmtId="49" fontId="98" fillId="0" borderId="39" xfId="0" applyNumberFormat="1" applyFont="1" applyFill="1" applyBorder="1" applyAlignment="1" applyProtection="1">
      <alignment horizontal="center" vertical="center" wrapText="1"/>
      <protection locked="0"/>
    </xf>
    <xf numFmtId="49" fontId="225" fillId="0" borderId="10"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49" xfId="0" applyFont="1" applyBorder="1" applyAlignment="1" applyProtection="1">
      <alignment horizontal="center" vertical="center"/>
      <protection locked="0"/>
    </xf>
    <xf numFmtId="0" fontId="137" fillId="0" borderId="24"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137" fillId="0" borderId="37"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56" fillId="0" borderId="0" xfId="13"/>
    <xf numFmtId="0" fontId="56" fillId="5" borderId="0" xfId="13" applyFill="1"/>
    <xf numFmtId="0" fontId="0" fillId="5" borderId="0" xfId="0" applyFill="1">
      <alignment vertical="center"/>
    </xf>
    <xf numFmtId="0" fontId="56" fillId="0" borderId="0" xfId="13" applyFill="1"/>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10" fontId="50" fillId="18" borderId="1" xfId="1" applyNumberFormat="1" applyFont="1" applyFill="1" applyBorder="1" applyAlignment="1" applyProtection="1">
      <alignment horizontal="center" vertical="center"/>
      <protection locked="0"/>
    </xf>
    <xf numFmtId="176" fontId="47" fillId="18" borderId="24" xfId="1" applyNumberFormat="1" applyFont="1" applyFill="1" applyBorder="1" applyAlignment="1" applyProtection="1">
      <alignment horizontal="center" vertical="center"/>
      <protection locked="0"/>
    </xf>
    <xf numFmtId="177" fontId="50" fillId="18" borderId="1" xfId="1" applyNumberFormat="1" applyFont="1" applyFill="1" applyBorder="1" applyAlignment="1" applyProtection="1">
      <alignment horizontal="center" vertical="center"/>
      <protection locked="0"/>
    </xf>
    <xf numFmtId="181" fontId="50" fillId="18" borderId="24" xfId="0" applyNumberFormat="1" applyFont="1" applyFill="1" applyBorder="1" applyAlignment="1" applyProtection="1">
      <alignment horizontal="center" vertical="center"/>
      <protection locked="0"/>
    </xf>
    <xf numFmtId="0" fontId="73" fillId="18" borderId="20" xfId="0" applyNumberFormat="1" applyFont="1" applyFill="1" applyBorder="1" applyAlignment="1" applyProtection="1">
      <alignment vertical="center" wrapText="1"/>
      <protection locked="0"/>
    </xf>
    <xf numFmtId="0" fontId="73" fillId="18" borderId="51" xfId="0" applyNumberFormat="1" applyFont="1" applyFill="1" applyBorder="1" applyAlignment="1" applyProtection="1">
      <alignment vertical="center" wrapText="1"/>
      <protection locked="0"/>
    </xf>
    <xf numFmtId="0" fontId="47" fillId="18" borderId="46" xfId="0" applyFont="1" applyFill="1" applyBorder="1" applyAlignment="1" applyProtection="1">
      <alignment horizontal="center" vertical="center" wrapText="1"/>
      <protection locked="0"/>
    </xf>
    <xf numFmtId="0" fontId="137" fillId="18" borderId="41" xfId="0" applyNumberFormat="1" applyFont="1" applyFill="1" applyBorder="1" applyAlignment="1" applyProtection="1">
      <alignment horizontal="center" vertical="center" wrapText="1"/>
      <protection locked="0"/>
    </xf>
    <xf numFmtId="0" fontId="47" fillId="18" borderId="71" xfId="0" applyNumberFormat="1" applyFont="1" applyFill="1" applyBorder="1" applyAlignment="1" applyProtection="1">
      <alignment horizontal="center" vertical="center" wrapText="1"/>
    </xf>
    <xf numFmtId="49" fontId="137" fillId="18" borderId="7" xfId="0" applyNumberFormat="1" applyFont="1" applyFill="1" applyBorder="1" applyAlignment="1" applyProtection="1">
      <alignment horizontal="center" vertical="center" wrapText="1"/>
      <protection locked="0"/>
    </xf>
    <xf numFmtId="0" fontId="47" fillId="18" borderId="24" xfId="0" applyNumberFormat="1" applyFont="1" applyFill="1" applyBorder="1" applyAlignment="1" applyProtection="1">
      <alignment horizontal="center" vertical="center" wrapText="1"/>
    </xf>
    <xf numFmtId="49" fontId="137" fillId="18" borderId="41" xfId="0" applyNumberFormat="1" applyFont="1" applyFill="1" applyBorder="1" applyAlignment="1" applyProtection="1">
      <alignment horizontal="center" vertical="center" wrapText="1"/>
      <protection locked="0"/>
    </xf>
    <xf numFmtId="0" fontId="113" fillId="0" borderId="0" xfId="0" applyFont="1">
      <alignment vertical="center"/>
    </xf>
    <xf numFmtId="0" fontId="113" fillId="6" borderId="13" xfId="0" applyFont="1" applyFill="1" applyBorder="1">
      <alignment vertical="center"/>
    </xf>
    <xf numFmtId="0" fontId="113" fillId="5" borderId="13" xfId="0" applyFont="1" applyFill="1" applyBorder="1" applyAlignment="1" applyProtection="1">
      <alignment horizontal="center" vertical="center"/>
      <protection locked="0"/>
    </xf>
    <xf numFmtId="0" fontId="113" fillId="6" borderId="1" xfId="0" applyFont="1" applyFill="1" applyBorder="1" applyAlignment="1">
      <alignment horizontal="center" vertical="center"/>
    </xf>
    <xf numFmtId="0" fontId="119" fillId="6" borderId="1" xfId="0" applyFont="1" applyFill="1" applyBorder="1" applyAlignment="1">
      <alignment horizontal="center" vertical="center"/>
    </xf>
    <xf numFmtId="0" fontId="113" fillId="6" borderId="0" xfId="0" applyFont="1" applyFill="1" applyAlignment="1">
      <alignment horizontal="center" vertical="center"/>
    </xf>
    <xf numFmtId="0" fontId="113" fillId="6" borderId="1" xfId="0" applyFont="1" applyFill="1" applyBorder="1">
      <alignment vertical="center"/>
    </xf>
    <xf numFmtId="0" fontId="119" fillId="6" borderId="1" xfId="0" applyFont="1" applyFill="1" applyBorder="1" applyAlignment="1">
      <alignment horizontal="center" vertical="center" wrapText="1"/>
    </xf>
    <xf numFmtId="0" fontId="113" fillId="6" borderId="2" xfId="0" applyFont="1" applyFill="1" applyBorder="1" applyAlignment="1">
      <alignment horizontal="center" vertical="center"/>
    </xf>
    <xf numFmtId="0" fontId="113" fillId="6" borderId="5" xfId="0" applyFont="1" applyFill="1" applyBorder="1" applyAlignment="1">
      <alignment horizontal="center" vertical="center"/>
    </xf>
    <xf numFmtId="0" fontId="113" fillId="6" borderId="6" xfId="0" applyFont="1" applyFill="1" applyBorder="1" applyAlignment="1">
      <alignment horizontal="center" vertical="center"/>
    </xf>
    <xf numFmtId="0" fontId="257" fillId="6" borderId="10" xfId="0" applyFont="1" applyFill="1" applyBorder="1" applyAlignment="1">
      <alignment horizontal="center" vertical="center"/>
    </xf>
    <xf numFmtId="0" fontId="258" fillId="0" borderId="0" xfId="0" applyFont="1">
      <alignment vertical="center"/>
    </xf>
    <xf numFmtId="177" fontId="119" fillId="6" borderId="1" xfId="0" applyNumberFormat="1" applyFont="1" applyFill="1" applyBorder="1" applyAlignment="1" applyProtection="1">
      <alignment horizontal="center" vertical="center"/>
    </xf>
    <xf numFmtId="0" fontId="113" fillId="0" borderId="1" xfId="0" applyFont="1" applyBorder="1" applyAlignment="1">
      <alignment horizontal="center" vertical="center"/>
    </xf>
    <xf numFmtId="0" fontId="113" fillId="0" borderId="5" xfId="0" applyFont="1" applyBorder="1" applyAlignment="1">
      <alignment horizontal="center" vertical="center"/>
    </xf>
    <xf numFmtId="0" fontId="113" fillId="6" borderId="23" xfId="0" applyFont="1" applyFill="1" applyBorder="1" applyAlignment="1">
      <alignment horizontal="center" vertical="center"/>
    </xf>
    <xf numFmtId="0" fontId="257" fillId="6" borderId="24" xfId="0" applyFont="1" applyFill="1" applyBorder="1" applyAlignment="1">
      <alignment horizontal="center" vertical="center"/>
    </xf>
    <xf numFmtId="0" fontId="113" fillId="6" borderId="15" xfId="0" applyFont="1" applyFill="1" applyBorder="1">
      <alignment vertical="center"/>
    </xf>
    <xf numFmtId="177" fontId="119" fillId="6" borderId="15" xfId="0" applyNumberFormat="1" applyFont="1" applyFill="1" applyBorder="1" applyAlignment="1" applyProtection="1">
      <alignment horizontal="center" vertical="center"/>
    </xf>
    <xf numFmtId="0" fontId="113" fillId="6" borderId="13" xfId="0" applyFont="1" applyFill="1" applyBorder="1" applyAlignment="1">
      <alignment horizontal="center" vertical="center"/>
    </xf>
    <xf numFmtId="0" fontId="113" fillId="0" borderId="0" xfId="0" applyFont="1" applyAlignment="1">
      <alignment horizontal="center" vertical="center"/>
    </xf>
    <xf numFmtId="0" fontId="113" fillId="0" borderId="46" xfId="0" applyFont="1" applyBorder="1" applyAlignment="1">
      <alignment horizontal="center" vertical="center"/>
    </xf>
    <xf numFmtId="0" fontId="113" fillId="6" borderId="25" xfId="0" applyFont="1" applyFill="1" applyBorder="1" applyAlignment="1">
      <alignment horizontal="center" vertical="center"/>
    </xf>
    <xf numFmtId="0" fontId="257" fillId="6" borderId="49" xfId="0" applyFont="1" applyFill="1" applyBorder="1" applyAlignment="1">
      <alignment horizontal="center" vertical="center"/>
    </xf>
    <xf numFmtId="0" fontId="113" fillId="6" borderId="6" xfId="0" applyFont="1" applyFill="1" applyBorder="1">
      <alignment vertical="center"/>
    </xf>
    <xf numFmtId="0" fontId="113" fillId="6" borderId="9" xfId="0" applyFont="1" applyFill="1" applyBorder="1">
      <alignment vertical="center"/>
    </xf>
    <xf numFmtId="0" fontId="113" fillId="6" borderId="9" xfId="0" applyFont="1" applyFill="1" applyBorder="1" applyAlignment="1">
      <alignment horizontal="center" vertical="center"/>
    </xf>
    <xf numFmtId="0" fontId="113" fillId="6" borderId="28" xfId="0" applyFont="1" applyFill="1" applyBorder="1" applyAlignment="1">
      <alignment horizontal="center" vertical="center"/>
    </xf>
    <xf numFmtId="0" fontId="113" fillId="6" borderId="10" xfId="0" applyFont="1" applyFill="1" applyBorder="1" applyAlignment="1">
      <alignment horizontal="center" vertical="center"/>
    </xf>
    <xf numFmtId="49" fontId="113" fillId="6" borderId="23" xfId="0" applyNumberFormat="1" applyFont="1" applyFill="1" applyBorder="1" applyAlignment="1">
      <alignment horizontal="center" vertical="center"/>
    </xf>
    <xf numFmtId="0" fontId="113" fillId="6" borderId="2" xfId="0" applyFont="1" applyFill="1" applyBorder="1">
      <alignment vertical="center"/>
    </xf>
    <xf numFmtId="177" fontId="113" fillId="6" borderId="2" xfId="0" applyNumberFormat="1" applyFont="1" applyFill="1" applyBorder="1" applyAlignment="1">
      <alignment horizontal="center" vertical="center"/>
    </xf>
    <xf numFmtId="9" fontId="113" fillId="6" borderId="4" xfId="0" applyNumberFormat="1" applyFont="1" applyFill="1" applyBorder="1" applyAlignment="1">
      <alignment horizontal="center" vertical="center"/>
    </xf>
    <xf numFmtId="181" fontId="113" fillId="6" borderId="13" xfId="0" applyNumberFormat="1" applyFont="1" applyFill="1" applyBorder="1" applyAlignment="1" applyProtection="1">
      <alignment horizontal="center" vertical="center"/>
    </xf>
    <xf numFmtId="0" fontId="113" fillId="6" borderId="8" xfId="0" applyFont="1" applyFill="1" applyBorder="1" applyAlignment="1">
      <alignment horizontal="center" vertical="center"/>
    </xf>
    <xf numFmtId="49" fontId="259" fillId="6" borderId="23" xfId="0" applyNumberFormat="1" applyFont="1" applyFill="1" applyBorder="1" applyAlignment="1">
      <alignment horizontal="right" vertical="center"/>
    </xf>
    <xf numFmtId="0" fontId="259" fillId="6" borderId="1" xfId="0" applyFont="1" applyFill="1" applyBorder="1" applyAlignment="1">
      <alignment horizontal="right" vertical="center"/>
    </xf>
    <xf numFmtId="177" fontId="259" fillId="6" borderId="1" xfId="0" applyNumberFormat="1" applyFont="1" applyFill="1" applyBorder="1" applyAlignment="1">
      <alignment horizontal="center" vertical="center"/>
    </xf>
    <xf numFmtId="181" fontId="259" fillId="0" borderId="1" xfId="0" applyNumberFormat="1" applyFont="1" applyFill="1" applyBorder="1" applyAlignment="1" applyProtection="1">
      <alignment horizontal="center" vertical="center"/>
      <protection locked="0"/>
    </xf>
    <xf numFmtId="0" fontId="259" fillId="6" borderId="1" xfId="0" applyFont="1" applyFill="1" applyBorder="1" applyAlignment="1">
      <alignment horizontal="center" vertical="center"/>
    </xf>
    <xf numFmtId="0" fontId="259" fillId="0" borderId="1" xfId="0" applyFont="1" applyBorder="1">
      <alignment vertical="center"/>
    </xf>
    <xf numFmtId="10" fontId="259" fillId="0" borderId="1" xfId="0" applyNumberFormat="1" applyFont="1" applyBorder="1" applyAlignment="1" applyProtection="1">
      <alignment horizontal="center" vertical="center"/>
      <protection locked="0"/>
    </xf>
    <xf numFmtId="0" fontId="259" fillId="6" borderId="24" xfId="0" applyFont="1" applyFill="1" applyBorder="1" applyAlignment="1">
      <alignment horizontal="left" vertical="center"/>
    </xf>
    <xf numFmtId="0" fontId="259" fillId="0" borderId="0" xfId="0" applyFont="1">
      <alignment vertical="center"/>
    </xf>
    <xf numFmtId="10" fontId="259" fillId="0" borderId="1" xfId="0" applyNumberFormat="1" applyFont="1" applyFill="1" applyBorder="1" applyAlignment="1" applyProtection="1">
      <alignment horizontal="center" vertical="center"/>
    </xf>
    <xf numFmtId="181" fontId="259" fillId="6" borderId="0" xfId="0" applyNumberFormat="1" applyFont="1" applyFill="1">
      <alignment vertical="center"/>
    </xf>
    <xf numFmtId="0" fontId="260" fillId="0" borderId="53" xfId="0" applyFont="1" applyFill="1" applyBorder="1" applyAlignment="1">
      <alignment horizontal="left" vertical="center"/>
    </xf>
    <xf numFmtId="177" fontId="113" fillId="6" borderId="1" xfId="0" applyNumberFormat="1" applyFont="1" applyFill="1" applyBorder="1" applyAlignment="1">
      <alignment horizontal="center" vertical="center"/>
    </xf>
    <xf numFmtId="181" fontId="113" fillId="0" borderId="1" xfId="0" applyNumberFormat="1" applyFont="1" applyFill="1" applyBorder="1" applyAlignment="1" applyProtection="1">
      <alignment horizontal="center" vertical="center"/>
      <protection locked="0"/>
    </xf>
    <xf numFmtId="0" fontId="113" fillId="0" borderId="1" xfId="0" applyFont="1" applyBorder="1">
      <alignment vertical="center"/>
    </xf>
    <xf numFmtId="10" fontId="113" fillId="0" borderId="1" xfId="0" applyNumberFormat="1" applyFont="1" applyBorder="1" applyAlignment="1" applyProtection="1">
      <alignment horizontal="center" vertical="center"/>
      <protection locked="0"/>
    </xf>
    <xf numFmtId="0" fontId="113" fillId="6" borderId="24" xfId="0" applyFont="1" applyFill="1" applyBorder="1" applyAlignment="1">
      <alignment horizontal="left" vertical="center"/>
    </xf>
    <xf numFmtId="0" fontId="113" fillId="0" borderId="13" xfId="0" applyFont="1" applyBorder="1">
      <alignment vertical="center"/>
    </xf>
    <xf numFmtId="10" fontId="119" fillId="0" borderId="1" xfId="0" applyNumberFormat="1" applyFont="1" applyBorder="1" applyAlignment="1" applyProtection="1">
      <alignment horizontal="center" vertical="center"/>
      <protection locked="0"/>
    </xf>
    <xf numFmtId="0" fontId="113" fillId="6" borderId="61" xfId="0" applyFont="1" applyFill="1" applyBorder="1" applyAlignment="1">
      <alignment horizontal="left" vertical="center"/>
    </xf>
    <xf numFmtId="0" fontId="261" fillId="0" borderId="32" xfId="0" applyFont="1" applyBorder="1" applyAlignment="1" applyProtection="1">
      <alignment horizontal="center" vertical="center"/>
      <protection locked="0"/>
    </xf>
    <xf numFmtId="0" fontId="119" fillId="6" borderId="32" xfId="0" applyFont="1" applyFill="1" applyBorder="1" applyAlignment="1">
      <alignment horizontal="center" vertical="center"/>
    </xf>
    <xf numFmtId="9" fontId="119" fillId="6" borderId="32" xfId="0" applyNumberFormat="1" applyFont="1" applyFill="1" applyBorder="1" applyAlignment="1">
      <alignment horizontal="center" vertical="center"/>
    </xf>
    <xf numFmtId="0" fontId="119" fillId="0" borderId="32" xfId="0" applyFont="1" applyBorder="1">
      <alignment vertical="center"/>
    </xf>
    <xf numFmtId="181" fontId="257" fillId="6" borderId="74" xfId="0" applyNumberFormat="1" applyFont="1" applyFill="1" applyBorder="1" applyAlignment="1" applyProtection="1">
      <alignment horizontal="center" vertical="center"/>
    </xf>
    <xf numFmtId="0" fontId="119" fillId="6" borderId="49" xfId="0" applyFont="1" applyFill="1" applyBorder="1" applyAlignment="1">
      <alignment horizontal="left" vertical="center"/>
    </xf>
    <xf numFmtId="0" fontId="119" fillId="0" borderId="0" xfId="0" applyFont="1">
      <alignment vertical="center"/>
    </xf>
    <xf numFmtId="0" fontId="124" fillId="0" borderId="0" xfId="0" applyFont="1">
      <alignment vertical="center"/>
    </xf>
    <xf numFmtId="0" fontId="80" fillId="6" borderId="0" xfId="0" applyFont="1" applyFill="1" applyAlignment="1" applyProtection="1">
      <alignment vertical="center"/>
      <protection locked="0"/>
    </xf>
    <xf numFmtId="9" fontId="50" fillId="6" borderId="0" xfId="0" applyNumberFormat="1" applyFont="1" applyFill="1" applyAlignment="1" applyProtection="1">
      <alignment vertical="center"/>
      <protection locked="0"/>
    </xf>
    <xf numFmtId="10" fontId="50" fillId="6" borderId="0" xfId="0" applyNumberFormat="1" applyFont="1" applyFill="1" applyAlignment="1" applyProtection="1">
      <alignment vertical="center"/>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49" fontId="98" fillId="0" borderId="35" xfId="0" applyNumberFormat="1" applyFont="1" applyFill="1" applyBorder="1" applyAlignment="1" applyProtection="1">
      <alignment horizontal="center" vertical="center" wrapText="1"/>
      <protection locked="0"/>
    </xf>
    <xf numFmtId="0" fontId="262" fillId="0" borderId="160" xfId="0" applyFont="1" applyBorder="1" applyAlignment="1">
      <alignment horizontal="center" vertical="center" wrapText="1"/>
    </xf>
    <xf numFmtId="0" fontId="262" fillId="0" borderId="161" xfId="0" applyFont="1" applyBorder="1" applyAlignment="1">
      <alignment horizontal="center" vertical="center" wrapText="1"/>
    </xf>
    <xf numFmtId="0" fontId="0" fillId="0" borderId="162" xfId="0" applyBorder="1" applyAlignment="1">
      <alignment vertical="center" wrapText="1"/>
    </xf>
    <xf numFmtId="0" fontId="262" fillId="0" borderId="162" xfId="0" applyFont="1" applyBorder="1" applyAlignment="1">
      <alignment horizontal="center" vertical="center" wrapText="1"/>
    </xf>
    <xf numFmtId="0" fontId="263" fillId="0" borderId="158" xfId="0" applyFont="1" applyBorder="1" applyAlignment="1">
      <alignment horizontal="center" vertical="center" wrapText="1"/>
    </xf>
    <xf numFmtId="0" fontId="263" fillId="0" borderId="162" xfId="0" applyFont="1" applyBorder="1" applyAlignment="1">
      <alignment horizontal="center" vertical="center" wrapText="1"/>
    </xf>
    <xf numFmtId="0" fontId="0" fillId="0" borderId="0" xfId="0" applyAlignment="1">
      <alignment wrapText="1"/>
    </xf>
    <xf numFmtId="0" fontId="264" fillId="0" borderId="162" xfId="0" applyFont="1" applyBorder="1" applyAlignment="1">
      <alignment horizontal="center" vertical="center" wrapText="1"/>
    </xf>
    <xf numFmtId="0" fontId="262" fillId="0" borderId="156" xfId="0" applyFont="1" applyBorder="1" applyAlignment="1">
      <alignment horizontal="center" vertical="center" wrapText="1"/>
    </xf>
    <xf numFmtId="0" fontId="263" fillId="0" borderId="156" xfId="0" applyFont="1" applyBorder="1" applyAlignment="1">
      <alignment horizontal="center"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0" fillId="0" borderId="5" xfId="0" applyBorder="1" applyAlignment="1">
      <alignment horizontal="center"/>
    </xf>
    <xf numFmtId="0" fontId="0" fillId="0" borderId="54" xfId="0" applyBorder="1" applyAlignment="1">
      <alignment horizontal="center"/>
    </xf>
    <xf numFmtId="0" fontId="0" fillId="0" borderId="3" xfId="0" applyBorder="1" applyAlignment="1">
      <alignment horizontal="center"/>
    </xf>
    <xf numFmtId="0" fontId="0" fillId="0" borderId="13" xfId="0" applyBorder="1" applyAlignment="1">
      <alignment horizontal="center" vertical="center"/>
    </xf>
    <xf numFmtId="0" fontId="0" fillId="0" borderId="2" xfId="0" applyBorder="1" applyAlignment="1">
      <alignment horizontal="center" vertical="center"/>
    </xf>
    <xf numFmtId="0" fontId="100" fillId="0" borderId="1" xfId="0" applyFont="1" applyBorder="1" applyAlignment="1">
      <alignment horizontal="center"/>
    </xf>
    <xf numFmtId="0" fontId="100" fillId="0" borderId="5" xfId="0" applyFont="1" applyBorder="1" applyAlignment="1">
      <alignment horizontal="center"/>
    </xf>
    <xf numFmtId="0" fontId="100" fillId="0" borderId="3"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horizontal="center"/>
    </xf>
    <xf numFmtId="0" fontId="262" fillId="0" borderId="164" xfId="0" applyFont="1" applyBorder="1" applyAlignment="1">
      <alignment horizontal="center" vertical="center" wrapText="1"/>
    </xf>
    <xf numFmtId="0" fontId="262" fillId="0" borderId="163" xfId="0" applyFont="1" applyBorder="1" applyAlignment="1">
      <alignment horizontal="center" vertical="center" wrapText="1"/>
    </xf>
    <xf numFmtId="0" fontId="262" fillId="0" borderId="159" xfId="0" applyFont="1" applyBorder="1" applyAlignment="1">
      <alignment horizontal="center" vertical="center" wrapText="1"/>
    </xf>
    <xf numFmtId="0" fontId="262" fillId="0" borderId="156" xfId="0" applyFont="1" applyBorder="1" applyAlignment="1">
      <alignment horizontal="center" vertical="center" wrapText="1"/>
    </xf>
    <xf numFmtId="0" fontId="262" fillId="0" borderId="157" xfId="0" applyFont="1" applyBorder="1" applyAlignment="1">
      <alignment horizontal="center" vertical="center" wrapText="1"/>
    </xf>
    <xf numFmtId="0" fontId="262" fillId="0" borderId="158"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225"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225"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225" fillId="0" borderId="38" xfId="0" applyFont="1" applyFill="1" applyBorder="1" applyAlignment="1" applyProtection="1">
      <alignment horizontal="center" vertical="top" wrapText="1"/>
      <protection locked="0"/>
    </xf>
    <xf numFmtId="0" fontId="178" fillId="0" borderId="68" xfId="0" applyFont="1" applyFill="1" applyBorder="1" applyAlignment="1" applyProtection="1">
      <alignment horizontal="center" vertical="top"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178" fillId="0" borderId="1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19" fillId="6" borderId="38" xfId="0" applyFont="1" applyFill="1" applyBorder="1" applyAlignment="1">
      <alignment horizontal="center" vertical="center"/>
    </xf>
    <xf numFmtId="0" fontId="119" fillId="6" borderId="66" xfId="0" applyFont="1" applyFill="1" applyBorder="1" applyAlignment="1">
      <alignment horizontal="center" vertical="center"/>
    </xf>
    <xf numFmtId="0" fontId="265" fillId="0" borderId="0" xfId="0" applyFont="1">
      <alignment vertical="center"/>
    </xf>
  </cellXfs>
  <cellStyles count="14">
    <cellStyle name="常规" xfId="0" builtinId="0"/>
    <cellStyle name="常规 10" xfId="13"/>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7">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161925</xdr:rowOff>
    </xdr:from>
    <xdr:to>
      <xdr:col>6</xdr:col>
      <xdr:colOff>314325</xdr:colOff>
      <xdr:row>46</xdr:row>
      <xdr:rowOff>142875</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05125"/>
          <a:ext cx="6648450" cy="512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676276</xdr:colOff>
      <xdr:row>19</xdr:row>
      <xdr:rowOff>47626</xdr:rowOff>
    </xdr:from>
    <xdr:to>
      <xdr:col>17</xdr:col>
      <xdr:colOff>191258</xdr:colOff>
      <xdr:row>45</xdr:row>
      <xdr:rowOff>104776</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10401" y="3305176"/>
          <a:ext cx="7058782" cy="451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666750</xdr:colOff>
      <xdr:row>45</xdr:row>
      <xdr:rowOff>76200</xdr:rowOff>
    </xdr:from>
    <xdr:to>
      <xdr:col>17</xdr:col>
      <xdr:colOff>238125</xdr:colOff>
      <xdr:row>56</xdr:row>
      <xdr:rowOff>131892</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00875" y="7791450"/>
          <a:ext cx="7115175" cy="1941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95250</xdr:rowOff>
    </xdr:from>
    <xdr:to>
      <xdr:col>6</xdr:col>
      <xdr:colOff>438150</xdr:colOff>
      <xdr:row>70</xdr:row>
      <xdr:rowOff>25349</xdr:rowOff>
    </xdr:to>
    <xdr:pic>
      <xdr:nvPicPr>
        <xdr:cNvPr id="5" name="图片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7981950"/>
          <a:ext cx="6772275" cy="4044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70</xdr:row>
      <xdr:rowOff>57151</xdr:rowOff>
    </xdr:from>
    <xdr:to>
      <xdr:col>6</xdr:col>
      <xdr:colOff>571500</xdr:colOff>
      <xdr:row>93</xdr:row>
      <xdr:rowOff>155952</xdr:rowOff>
    </xdr:to>
    <xdr:pic>
      <xdr:nvPicPr>
        <xdr:cNvPr id="6" name="图片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2058651"/>
          <a:ext cx="6905625" cy="4042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28576</xdr:rowOff>
    </xdr:from>
    <xdr:to>
      <xdr:col>6</xdr:col>
      <xdr:colOff>666750</xdr:colOff>
      <xdr:row>116</xdr:row>
      <xdr:rowOff>95250</xdr:rowOff>
    </xdr:to>
    <xdr:pic>
      <xdr:nvPicPr>
        <xdr:cNvPr id="7" name="图片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6144876"/>
          <a:ext cx="7000875" cy="3838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390525</xdr:colOff>
      <xdr:row>33</xdr:row>
      <xdr:rowOff>47625</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562725" cy="5705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26700;&#38754;/&#25187;&#20943;&#23436;&#24050;&#21806;/&#21830;&#21697;&#25151;&#12289;&#38480;&#20215;&#25151;&#31614;&#32422;&#26126;&#32454;-&#25130;&#33267;20171231-&#22320;&#19978;&#22320;&#19979;&#25286;&#20998;&#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351;&#23548;&#20215;&#8212;&#8212;&#35199;&#21306;&#21150;&#20844;&#65288;&#22312;&#2431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199;&#21306;&#21150;&#20844;&#65288;&#22312;&#243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商品房"/>
      <sheetName val="东地块-限价房"/>
      <sheetName val="西地块-限价房"/>
    </sheetNames>
    <sheetDataSet>
      <sheetData sheetId="0">
        <row r="18">
          <cell r="J18">
            <v>780.15</v>
          </cell>
          <cell r="K18">
            <v>775.22</v>
          </cell>
        </row>
        <row r="19">
          <cell r="J19">
            <v>448.37</v>
          </cell>
          <cell r="K19">
            <v>302.11</v>
          </cell>
        </row>
        <row r="20">
          <cell r="J20">
            <v>1375.4099999999999</v>
          </cell>
          <cell r="K20">
            <v>1382.8500000000001</v>
          </cell>
        </row>
      </sheetData>
      <sheetData sheetId="1">
        <row r="1003">
          <cell r="J1003">
            <v>15324.859999999982</v>
          </cell>
        </row>
      </sheetData>
      <sheetData sheetId="2">
        <row r="797">
          <cell r="J797">
            <v>28426.300000000047</v>
          </cell>
        </row>
        <row r="798">
          <cell r="J798">
            <v>32391.150000000031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地价"/>
      <sheetName val="假设开发法"/>
      <sheetName val="收益法商业"/>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修正"/>
      <sheetName val="容积率修正"/>
      <sheetName val="基准地价（汇总）"/>
      <sheetName val="典型户型修正"/>
      <sheetName val="成本法（废）"/>
      <sheetName val="区片价"/>
      <sheetName val="因素修正幅度"/>
      <sheetName val="存贷款利率"/>
      <sheetName val="区片价（范围）"/>
      <sheetName val="收益法办公"/>
      <sheetName val="收益法车库"/>
      <sheetName val="土地案例及位置"/>
      <sheetName val="Sheet3"/>
      <sheetName val="基准地价修正"/>
    </sheetNames>
    <sheetDataSet>
      <sheetData sheetId="0"/>
      <sheetData sheetId="1"/>
      <sheetData sheetId="2"/>
      <sheetData sheetId="3"/>
      <sheetData sheetId="4"/>
      <sheetData sheetId="5"/>
      <sheetData sheetId="6"/>
      <sheetData sheetId="7"/>
      <sheetData sheetId="8"/>
      <sheetData sheetId="9"/>
      <sheetData sheetId="10"/>
      <sheetData sheetId="11">
        <row r="5">
          <cell r="I5">
            <v>3763.72</v>
          </cell>
          <cell r="K5">
            <v>13321.98</v>
          </cell>
          <cell r="M5">
            <v>5091.01</v>
          </cell>
          <cell r="AL5">
            <v>29.3</v>
          </cell>
          <cell r="AN5">
            <v>767.97</v>
          </cell>
        </row>
      </sheetData>
      <sheetData sheetId="12"/>
      <sheetData sheetId="13"/>
      <sheetData sheetId="14"/>
      <sheetData sheetId="15"/>
      <sheetData sheetId="16"/>
      <sheetData sheetId="17">
        <row r="19">
          <cell r="L19">
            <v>6845.8</v>
          </cell>
        </row>
        <row r="118">
          <cell r="B118">
            <v>22973.98</v>
          </cell>
          <cell r="C118">
            <v>6845.8</v>
          </cell>
          <cell r="H118">
            <v>9240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地价"/>
      <sheetName val="假设开发法"/>
      <sheetName val="收益法商业"/>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修正"/>
      <sheetName val="容积率修正"/>
      <sheetName val="基准地价（汇总）"/>
      <sheetName val="典型户型修正"/>
      <sheetName val="成本法（废）"/>
      <sheetName val="区片价"/>
      <sheetName val="因素修正幅度"/>
      <sheetName val="存贷款利率"/>
      <sheetName val="区片价（范围）"/>
      <sheetName val="收益法办公"/>
      <sheetName val="收益法车库"/>
      <sheetName val="土地案例及位置"/>
      <sheetName val="Sheet3"/>
      <sheetName val="基准地价修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G19">
            <v>31149</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4" customWidth="1"/>
    <col min="2" max="2" width="81" style="1601" customWidth="1"/>
    <col min="3" max="16384" width="9" style="1599"/>
  </cols>
  <sheetData>
    <row r="1" spans="1:2" s="1587" customFormat="1" ht="16.5" thickBot="1">
      <c r="A1" s="1586" t="s">
        <v>1219</v>
      </c>
      <c r="B1" s="1585" t="s">
        <v>1298</v>
      </c>
    </row>
    <row r="2" spans="1:2" s="1590" customFormat="1" ht="15" thickTop="1">
      <c r="A2" s="1588" t="s">
        <v>1220</v>
      </c>
      <c r="B2" s="1589" t="str">
        <f>'预评函-封皮'!B37:I37</f>
        <v>北京市昌平区北七家镇GZT-05-1地块出让国有建设用地使用权及在建建筑物房地产抵押价值预评估</v>
      </c>
    </row>
    <row r="3" spans="1:2" s="1593" customFormat="1">
      <c r="A3" s="1591" t="s">
        <v>1221</v>
      </c>
      <c r="B3" s="1592" t="str">
        <f>'预评函-封皮'!B40</f>
        <v>北京文华盛达房地产开发有限公司</v>
      </c>
    </row>
    <row r="4" spans="1:2" s="1593" customFormat="1">
      <c r="A4" s="1591" t="s">
        <v>1222</v>
      </c>
      <c r="B4" s="1592" t="str">
        <f ca="1">'预评函-封皮'!B46</f>
        <v>刘梅（注册号：1120140022)、吴薇（注册号：1419970001)</v>
      </c>
    </row>
    <row r="5" spans="1:2" s="1587" customFormat="1" ht="15" thickBot="1">
      <c r="A5" s="1594" t="s">
        <v>1223</v>
      </c>
      <c r="B5" s="1595" t="str">
        <f>'预评函-封皮'!B49</f>
        <v>康正预评字号</v>
      </c>
    </row>
    <row r="6" spans="1:2" s="1590" customFormat="1" ht="15" thickTop="1">
      <c r="A6" s="1588" t="s">
        <v>1224</v>
      </c>
      <c r="B6" s="1589" t="str">
        <f>'预评函-1'!A4</f>
        <v>受贵公司委托，我公司对北京市昌平区北七家镇GZT-05-1地块出让国有建设用地使用权及在建建筑物房地产抵押价值进行了预评估。</v>
      </c>
    </row>
    <row r="7" spans="1:2" s="1593" customFormat="1">
      <c r="A7" s="1591" t="s">
        <v>1264</v>
      </c>
      <c r="B7" s="1592" t="str">
        <f>'预评函-1'!A7</f>
        <v>估价对象为北京市昌平区北七家镇GZT-05-1地块出让国有建设用地使用权及在建建筑物房地产，为所有。根据《不动产权证书》[京（2017）昌不动产权第0000006号]，估价对象（分摊）出让国有建设用地使用权面积为31136.97平方米。根据《工程规划许可证》[建字第110114201600094、110114201600098、110114201700008、110114201700015号]，估价对象建筑面积为117348.16平方米。</v>
      </c>
    </row>
    <row r="8" spans="1:2" s="1593" customFormat="1">
      <c r="A8" s="1591" t="s">
        <v>1265</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1266</v>
      </c>
      <c r="B9" s="1592" t="str">
        <f>'预评函-1'!A10</f>
        <v>估价对象为北京市昌平区北七家镇GZT-05-1地块出让国有建设用地使用权及在建建筑物房地产,属开发建设的居住项目，该项目尚在开发建设中。根据《不动产权证书》[京（2017）昌不动产权第0000006号]，估价对象（分摊）出让国有建设用地使用权面积为31136.97平方米。根据《工程规划许可证》[建字第110114201600094、110114201600098、110114201700008、110114201700015号]，估价对象规划建筑面积为117348.16平方米。</v>
      </c>
    </row>
    <row r="10" spans="1:2" s="1593" customFormat="1">
      <c r="A10" s="1591" t="s">
        <v>1267</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1225</v>
      </c>
      <c r="B11" s="1592" t="str">
        <f>'预评函-1'!A13</f>
        <v>为估价委托人在向民生信托办理贷款手续过程中，确定房地产抵押贷款额度提供参考依据而评估房地产抵押价值。</v>
      </c>
    </row>
    <row r="12" spans="1:2" s="1593" customFormat="1">
      <c r="A12" s="1591" t="s">
        <v>1226</v>
      </c>
      <c r="B12" s="1592" t="str">
        <f>'预评函-1'!A15</f>
        <v>2018年1月11日（评估专业人员实地查勘之日）</v>
      </c>
    </row>
    <row r="13" spans="1:2" s="1593" customFormat="1">
      <c r="A13" s="1591" t="s">
        <v>1227</v>
      </c>
      <c r="B13" s="1592" t="str">
        <f>'预评函-1'!A18</f>
        <v>本次估价的“房地产价值”是指在正常市场情况下，在价值时点2018年1月11日，估价对象规划用途为住宅、地下仓储、地下车库，土地取得方式为出让，出让国有建设用地使用权剩余土地使用年限为住宅67.9年、地下仓储及地下车库47.9年，假定未设立法定优先受偿款下的房地产市场价值。</v>
      </c>
    </row>
    <row r="14" spans="1:2" s="1593" customFormat="1">
      <c r="A14" s="1591" t="s">
        <v>1228</v>
      </c>
      <c r="B14" s="1592" t="str">
        <f>'预评函-1'!A19</f>
        <v>其中，“出让国有建设用地使用权价值”是指估价对象用途为住宅、地下仓储、地下车库，实际开发程度为宗地红线外“七通”（即、、、、、、）、红线内场地平整条件下，剩余土地使用年限为住宅67.9年、地下仓储及地下车库47.9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1229</v>
      </c>
      <c r="B15" s="1592" t="str">
        <f>'预评函-1'!A20</f>
        <v>本次估价的“房地产抵押价值”是指估价对象在价值时点的“房地产价值”扣减估价师于价值时点所知悉的法定优先受偿款后的余额。</v>
      </c>
    </row>
    <row r="16" spans="1:2" s="1593" customFormat="1">
      <c r="A16" s="1591" t="s">
        <v>1230</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1231</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 thickBot="1">
      <c r="A18" s="1594" t="s">
        <v>1232</v>
      </c>
      <c r="B18" s="1595" t="str">
        <f>'预评函-1'!A24</f>
        <v>本次评估采用的主估价方法为成本法和假设开发法。</v>
      </c>
    </row>
    <row r="19" spans="1:2" s="1590" customFormat="1" ht="15" thickTop="1">
      <c r="A19" s="1588" t="s">
        <v>1233</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1234</v>
      </c>
      <c r="B20" s="1592">
        <f ca="1">'预评函-2'!D5</f>
        <v>271791</v>
      </c>
    </row>
    <row r="21" spans="1:2" s="1593" customFormat="1">
      <c r="A21" s="1591" t="s">
        <v>1235</v>
      </c>
      <c r="B21" s="1592">
        <f ca="1">'预评函-2'!D7</f>
        <v>23161</v>
      </c>
    </row>
    <row r="22" spans="1:2" s="1593" customFormat="1">
      <c r="A22" s="1591" t="s">
        <v>1236</v>
      </c>
      <c r="B22" s="1592" t="str">
        <f ca="1">'预评函-2'!D6</f>
        <v>贰拾柒亿壹仟柒佰玖拾壹万元整</v>
      </c>
    </row>
    <row r="23" spans="1:2" s="1593" customFormat="1">
      <c r="A23" s="1591" t="s">
        <v>1287</v>
      </c>
      <c r="B23" s="1592" t="str">
        <f>'预评函-2'!B8</f>
        <v>2.估价师知悉的法定优先受偿款</v>
      </c>
    </row>
    <row r="24" spans="1:2" s="1593" customFormat="1">
      <c r="A24" s="1591" t="s">
        <v>1293</v>
      </c>
      <c r="B24" s="1592">
        <f>'预评函-2'!D8</f>
        <v>0</v>
      </c>
    </row>
    <row r="25" spans="1:2" s="1593" customFormat="1">
      <c r="A25" s="1591" t="s">
        <v>1237</v>
      </c>
      <c r="B25" s="1592" t="str">
        <f>'预评函-2'!D9</f>
        <v>零元整</v>
      </c>
    </row>
    <row r="26" spans="1:2" s="1593" customFormat="1">
      <c r="A26" s="1591" t="s">
        <v>1238</v>
      </c>
      <c r="B26" s="1592">
        <f>'预评函-2'!D10</f>
        <v>0</v>
      </c>
    </row>
    <row r="27" spans="1:2" s="1593" customFormat="1">
      <c r="A27" s="1591" t="s">
        <v>1239</v>
      </c>
      <c r="B27" s="1592">
        <f>'预评函-2'!D11</f>
        <v>0</v>
      </c>
    </row>
    <row r="28" spans="1:2" s="1593" customFormat="1">
      <c r="A28" s="1591" t="s">
        <v>1240</v>
      </c>
      <c r="B28" s="1592">
        <f>'预评函-2'!D12</f>
        <v>0</v>
      </c>
    </row>
    <row r="29" spans="1:2" s="1593" customFormat="1">
      <c r="A29" s="1591" t="s">
        <v>1291</v>
      </c>
      <c r="B29" s="1592" t="str">
        <f>'预评函-2'!B13</f>
        <v>3.房地产抵押价值</v>
      </c>
    </row>
    <row r="30" spans="1:2" s="1593" customFormat="1">
      <c r="A30" s="1591" t="s">
        <v>1292</v>
      </c>
      <c r="B30" s="1592">
        <f ca="1">'预评函-2'!D13</f>
        <v>271791</v>
      </c>
    </row>
    <row r="31" spans="1:2" s="1593" customFormat="1">
      <c r="A31" s="1591" t="s">
        <v>1274</v>
      </c>
      <c r="B31" s="1592">
        <f ca="1">'预评函-2'!D15</f>
        <v>23161</v>
      </c>
    </row>
    <row r="32" spans="1:2" s="1593" customFormat="1">
      <c r="A32" s="1591" t="s">
        <v>1241</v>
      </c>
      <c r="B32" s="1592" t="str">
        <f ca="1">'预评函-2'!D14</f>
        <v>贰拾柒亿壹仟柒佰玖拾壹万元整</v>
      </c>
    </row>
    <row r="33" spans="1:2" s="1593" customFormat="1">
      <c r="A33" s="1591" t="s">
        <v>1276</v>
      </c>
      <c r="B33" s="1592" t="str">
        <f>'预评函-2'!B16</f>
        <v>——</v>
      </c>
    </row>
    <row r="34" spans="1:2" s="1593" customFormat="1">
      <c r="A34" s="1591" t="s">
        <v>1294</v>
      </c>
      <c r="B34" s="1592" t="str">
        <f>'预评函-2'!D16</f>
        <v>——</v>
      </c>
    </row>
    <row r="35" spans="1:2" s="1593" customFormat="1">
      <c r="A35" s="1591" t="s">
        <v>1275</v>
      </c>
      <c r="B35" s="1592" t="str">
        <f>'预评函-2'!D18</f>
        <v>——</v>
      </c>
    </row>
    <row r="36" spans="1:2" s="1593" customFormat="1">
      <c r="A36" s="1591" t="s">
        <v>1242</v>
      </c>
      <c r="B36" s="1592" t="e">
        <f>'预评函-2'!D17</f>
        <v>#VALUE!</v>
      </c>
    </row>
    <row r="37" spans="1:2" s="1593" customFormat="1">
      <c r="A37" s="1591" t="s">
        <v>1277</v>
      </c>
      <c r="B37" s="1592" t="str">
        <f>'预评函-2'!B19</f>
        <v>——</v>
      </c>
    </row>
    <row r="38" spans="1:2" s="1593" customFormat="1">
      <c r="A38" s="1591" t="s">
        <v>1295</v>
      </c>
      <c r="B38" s="1592" t="str">
        <f>'预评函-2'!D19</f>
        <v>——</v>
      </c>
    </row>
    <row r="39" spans="1:2" s="1593" customFormat="1">
      <c r="A39" s="1591" t="s">
        <v>1243</v>
      </c>
      <c r="B39" s="1592" t="str">
        <f>'预评函-2'!D21</f>
        <v>——</v>
      </c>
    </row>
    <row r="40" spans="1:2" s="1593" customFormat="1">
      <c r="A40" s="1591" t="s">
        <v>1244</v>
      </c>
      <c r="B40" s="1592" t="e">
        <f>'预评函-2'!D20</f>
        <v>#VALUE!</v>
      </c>
    </row>
    <row r="41" spans="1:2" s="1593" customFormat="1">
      <c r="A41" s="1591" t="s">
        <v>1290</v>
      </c>
      <c r="B41" s="1592" t="str">
        <f>'预评函-3'!A4</f>
        <v>北京市昌平区北七家镇GZT-05-1地块出让国有建设用地使用权及在建建筑物房地产</v>
      </c>
    </row>
    <row r="42" spans="1:2" s="1593" customFormat="1">
      <c r="A42" s="1591" t="s">
        <v>1288</v>
      </c>
      <c r="B42" s="1592" t="str">
        <f>'预评函-3'!B2</f>
        <v>建筑面积</v>
      </c>
    </row>
    <row r="43" spans="1:2" s="1593" customFormat="1">
      <c r="A43" s="1591" t="s">
        <v>1289</v>
      </c>
      <c r="B43" s="1592">
        <f>'预评函-3'!B4</f>
        <v>117348.15999999993</v>
      </c>
    </row>
    <row r="44" spans="1:2" s="1593" customFormat="1">
      <c r="A44" s="1591" t="s">
        <v>1273</v>
      </c>
      <c r="B44" s="1592" t="str">
        <f>'预评函-3'!C2</f>
        <v>(分摊)土地面积</v>
      </c>
    </row>
    <row r="45" spans="1:2" s="1593" customFormat="1">
      <c r="A45" s="1591" t="s">
        <v>1245</v>
      </c>
      <c r="B45" s="1592">
        <f>'预评函-3'!C4</f>
        <v>31136.97</v>
      </c>
    </row>
    <row r="46" spans="1:2" s="1593" customFormat="1">
      <c r="A46" s="1591" t="s">
        <v>1271</v>
      </c>
      <c r="B46" s="1592" t="str">
        <f>'预评函-3'!D2</f>
        <v>出让国有建设用地使用权价值</v>
      </c>
    </row>
    <row r="47" spans="1:2" s="1593" customFormat="1">
      <c r="A47" s="1591" t="s">
        <v>1246</v>
      </c>
      <c r="B47" s="1592">
        <f ca="1">'预评函-3'!D4</f>
        <v>239448</v>
      </c>
    </row>
    <row r="48" spans="1:2" s="1593" customFormat="1">
      <c r="A48" s="1591" t="s">
        <v>1247</v>
      </c>
      <c r="B48" s="1592">
        <f ca="1">'预评函-3'!E4</f>
        <v>20405</v>
      </c>
    </row>
    <row r="49" spans="1:2" s="1593" customFormat="1">
      <c r="A49" s="1591" t="s">
        <v>1248</v>
      </c>
      <c r="B49" s="1592" t="str">
        <f ca="1">'预评函-3'!D5</f>
        <v>贰拾叁亿玖仟肆佰肆拾捌万元整</v>
      </c>
    </row>
    <row r="50" spans="1:2" s="1593" customFormat="1">
      <c r="A50" s="1591" t="s">
        <v>1272</v>
      </c>
      <c r="B50" s="1592" t="str">
        <f>'预评函-3'!F2</f>
        <v>在建建筑物价值</v>
      </c>
    </row>
    <row r="51" spans="1:2" s="1593" customFormat="1">
      <c r="A51" s="1591" t="s">
        <v>1249</v>
      </c>
      <c r="B51" s="1592">
        <f ca="1">'预评函-3'!F4</f>
        <v>32343</v>
      </c>
    </row>
    <row r="52" spans="1:2" s="1593" customFormat="1">
      <c r="A52" s="1591" t="s">
        <v>1250</v>
      </c>
      <c r="B52" s="1592">
        <f ca="1">'预评函-3'!G4</f>
        <v>2756</v>
      </c>
    </row>
    <row r="53" spans="1:2" s="1593" customFormat="1">
      <c r="A53" s="1591" t="s">
        <v>1278</v>
      </c>
      <c r="B53" s="1592" t="str">
        <f ca="1">'预评函-3'!F5</f>
        <v>叁亿贰仟叁佰肆拾叁万元整</v>
      </c>
    </row>
    <row r="54" spans="1:2" s="1593" customFormat="1">
      <c r="A54" s="1591" t="s">
        <v>1296</v>
      </c>
      <c r="B54" s="1592" t="str">
        <f>'预评函-3'!A8</f>
        <v>房地产抵押价值</v>
      </c>
    </row>
    <row r="55" spans="1:2" s="1593" customFormat="1">
      <c r="A55" s="1591" t="s">
        <v>1279</v>
      </c>
      <c r="B55" s="1592" t="str">
        <f>'预评函-3'!A10</f>
        <v/>
      </c>
    </row>
    <row r="56" spans="1:2" s="1593" customFormat="1">
      <c r="A56" s="1591" t="s">
        <v>1280</v>
      </c>
      <c r="B56" s="1592" t="str">
        <f>'预评函-3'!A12</f>
        <v/>
      </c>
    </row>
    <row r="57" spans="1:2" s="1587" customFormat="1" ht="15" thickBot="1">
      <c r="A57" s="1594" t="s">
        <v>1297</v>
      </c>
      <c r="B57" s="1595" t="str">
        <f>'预评函-3'!A6</f>
        <v>估价师知悉的法定优先受偿款</v>
      </c>
    </row>
    <row r="58" spans="1:2" s="1590" customFormat="1" ht="15" thickTop="1">
      <c r="A58" s="1588" t="s">
        <v>1251</v>
      </c>
      <c r="B58" s="1589" t="str">
        <f>'预评函-4'!A12</f>
        <v>2.本《评估意见函》仅供金融机构进行内部审核使用，不做其他目的之用。</v>
      </c>
    </row>
    <row r="59" spans="1:2" s="1593" customFormat="1">
      <c r="A59" s="1591" t="s">
        <v>1252</v>
      </c>
      <c r="B59" s="1592" t="str">
        <f>'预评函-4'!A13</f>
        <v>3.抵押双方在办理抵押登记手续时，应使用本公司出具的正式《房地产评估报告》，特提醒报告使用者注意。</v>
      </c>
    </row>
    <row r="60" spans="1:2" s="1593" customFormat="1">
      <c r="A60" s="1591" t="s">
        <v>1253</v>
      </c>
      <c r="B60" s="1592" t="str">
        <f>'预评函-4'!A14</f>
        <v>4.本次评估估价师所知悉的法定优先受偿款情况说明如下：</v>
      </c>
    </row>
    <row r="61" spans="1:2" s="1593" customFormat="1">
      <c r="A61" s="1591" t="s">
        <v>1254</v>
      </c>
      <c r="B61" s="1592" t="str">
        <f>'预评函-4'!A15</f>
        <v>（1）根据估价对象《不动产权证书》原件、，截至价值时点，估价对象已设定抵押。上述抵押权设定日期为，权利人为，权利范围为，权利价值为。</v>
      </c>
    </row>
    <row r="62" spans="1:2" s="1593" customFormat="1">
      <c r="A62" s="1591" t="s">
        <v>1255</v>
      </c>
      <c r="B62" s="1592" t="str">
        <f>'预评函-4'!A16</f>
        <v>（2）根据《工程款支付情况说明》，截至价值时点，估价对象不存在应付未付工程款项。（只要没有施工方盖章的，均“设定”进行表述）</v>
      </c>
    </row>
    <row r="63" spans="1:2" s="1593" customFormat="1">
      <c r="A63" s="1591" t="s">
        <v>1256</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1268</v>
      </c>
      <c r="B64" s="1592" t="str">
        <f>'预评函-4'!A18</f>
        <v>故，本次评估不存在估价师知悉的法定优先受偿款</v>
      </c>
    </row>
    <row r="65" spans="1:2" s="1593" customFormat="1">
      <c r="A65" s="1591" t="s">
        <v>1257</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1258</v>
      </c>
      <c r="B66" s="159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3" customFormat="1">
      <c r="A67" s="1591" t="s">
        <v>1269</v>
      </c>
      <c r="B67" s="159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3" customFormat="1">
      <c r="A68" s="1591" t="s">
        <v>1270</v>
      </c>
      <c r="B68" s="1592" t="str">
        <f>'预评函-4'!A22</f>
        <v>8.其他需特殊说明事项：无（注意调整序号）</v>
      </c>
    </row>
    <row r="69" spans="1:2" s="1587" customFormat="1" ht="15" thickBot="1">
      <c r="A69" s="1594" t="s">
        <v>1259</v>
      </c>
      <c r="B69" s="1596">
        <f>'预评函-4'!C31</f>
        <v>42551</v>
      </c>
    </row>
    <row r="70" spans="1:2" ht="15" thickTop="1">
      <c r="A70" s="1597" t="s">
        <v>1260</v>
      </c>
      <c r="B70" s="1598" t="str">
        <f>'预评函-4'!A4</f>
        <v>刘梅</v>
      </c>
    </row>
    <row r="71" spans="1:2">
      <c r="A71" s="1591" t="s">
        <v>1261</v>
      </c>
      <c r="B71" s="1592">
        <f ca="1">'预评函-4'!B4</f>
        <v>1120140022</v>
      </c>
    </row>
    <row r="72" spans="1:2">
      <c r="A72" s="1591" t="s">
        <v>1262</v>
      </c>
      <c r="B72" s="1600" t="str">
        <f>'预评函-4'!A5</f>
        <v>吴薇</v>
      </c>
    </row>
    <row r="73" spans="1:2" s="1587" customFormat="1" ht="15" thickBot="1">
      <c r="A73" s="1594" t="s">
        <v>1263</v>
      </c>
      <c r="B73" s="1595">
        <f ca="1">'预评函-4'!B5</f>
        <v>1419970001</v>
      </c>
    </row>
    <row r="74" spans="1:2" ht="15" thickTop="1">
      <c r="A74" s="1584" t="s">
        <v>1299</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3107" t="str">
        <f>项目基本情况!B1</f>
        <v>北京市昌平区北七家镇GZT-05-1地块出让国有建设用地使用权及在建建筑物房地产抵押价值预评估</v>
      </c>
      <c r="C37" s="3107"/>
      <c r="D37" s="3107"/>
      <c r="E37" s="3107"/>
      <c r="F37" s="3107"/>
      <c r="G37" s="3107"/>
      <c r="H37" s="3107"/>
      <c r="I37" s="3107"/>
    </row>
    <row r="38" spans="1:9">
      <c r="A38" s="1016"/>
      <c r="B38" s="1016"/>
    </row>
    <row r="39" spans="1:9">
      <c r="A39" s="1014" t="s">
        <v>818</v>
      </c>
      <c r="B39" s="1014" t="s">
        <v>820</v>
      </c>
    </row>
    <row r="40" spans="1:9">
      <c r="A40" s="1014"/>
      <c r="B40" s="1942" t="str">
        <f>项目基本情况!B5</f>
        <v>北京文华盛达房地产开发有限公司</v>
      </c>
    </row>
    <row r="41" spans="1:9">
      <c r="A41" s="1014"/>
      <c r="B41" s="1014"/>
    </row>
    <row r="42" spans="1:9">
      <c r="A42" s="1014" t="s">
        <v>818</v>
      </c>
      <c r="B42" s="1014" t="s">
        <v>821</v>
      </c>
    </row>
    <row r="43" spans="1:9">
      <c r="A43" s="1014"/>
      <c r="B43" s="1942" t="s">
        <v>822</v>
      </c>
    </row>
    <row r="44" spans="1:9">
      <c r="A44" s="1014"/>
      <c r="B44" s="1014"/>
    </row>
    <row r="45" spans="1:9">
      <c r="A45" s="1014" t="s">
        <v>818</v>
      </c>
      <c r="B45" s="1014" t="s">
        <v>823</v>
      </c>
    </row>
    <row r="46" spans="1:9" s="1014" customFormat="1" ht="12.75">
      <c r="B46" s="1942" t="str">
        <f ca="1">项目基本情况!K4</f>
        <v>刘梅（注册号：1120140022)、吴薇（注册号：1419970001)</v>
      </c>
    </row>
    <row r="47" spans="1:9">
      <c r="A47" s="1014"/>
      <c r="B47" s="1014" t="str">
        <f>项目基本情况!K5</f>
        <v/>
      </c>
    </row>
    <row r="48" spans="1:9">
      <c r="A48" s="1014" t="s">
        <v>818</v>
      </c>
      <c r="B48" s="1014" t="s">
        <v>824</v>
      </c>
    </row>
    <row r="49" spans="2:2">
      <c r="B49" s="194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5" customWidth="1"/>
    <col min="2" max="16384" width="9" style="1945"/>
  </cols>
  <sheetData>
    <row r="1" spans="1:1" ht="23.25">
      <c r="A1" s="1944" t="s">
        <v>1612</v>
      </c>
    </row>
    <row r="2" spans="1:1">
      <c r="A2" s="1946"/>
    </row>
    <row r="3" spans="1:1" ht="18">
      <c r="A3" s="1947" t="str">
        <f>项目基本情况!B5&amp;"："</f>
        <v>北京文华盛达房地产开发有限公司：</v>
      </c>
    </row>
    <row r="4" spans="1:1" ht="36">
      <c r="A4" s="1948" t="str">
        <f>"受贵公司委托，我公司对"&amp;项目基本情况!S1&amp;"进行了预评估。"</f>
        <v>受贵公司委托，我公司对北京市昌平区北七家镇GZT-05-1地块出让国有建设用地使用权及在建建筑物房地产抵押价值进行了预评估。</v>
      </c>
    </row>
    <row r="5" spans="1:1" ht="18.75">
      <c r="A5" s="1949" t="s">
        <v>1613</v>
      </c>
    </row>
    <row r="6" spans="1:1" ht="18.75">
      <c r="A6" s="1950" t="s">
        <v>1614</v>
      </c>
    </row>
    <row r="7" spans="1:1" ht="108">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北七家镇GZT-05-1地块出让国有建设用地使用权及在建建筑物房地产，为所有。根据《不动产权证书》[京（2017）昌不动产权第0000006号]，估价对象（分摊）出让国有建设用地使用权面积为31136.97平方米。根据《工程规划许可证》[建字第110114201600094、110114201600098、110114201700008、110114201700015号]，估价对象建筑面积为117348.16平方米。</v>
      </c>
    </row>
    <row r="8" spans="1:1" ht="57.75">
      <c r="A8" s="1951" t="s">
        <v>1615</v>
      </c>
    </row>
    <row r="9" spans="1:1" ht="18.75">
      <c r="A9" s="1950" t="s">
        <v>1616</v>
      </c>
    </row>
    <row r="10" spans="1:1" ht="108">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北七家镇GZT-05-1地块出让国有建设用地使用权及在建建筑物房地产,属开发建设的居住项目，该项目尚在开发建设中。根据《不动产权证书》[京（2017）昌不动产权第0000006号]，估价对象（分摊）出让国有建设用地使用权面积为31136.97平方米。根据《工程规划许可证》[建字第110114201600094、110114201600098、110114201700008、110114201700015号]，估价对象规划建筑面积为117348.16平方米。</v>
      </c>
    </row>
    <row r="11" spans="1:1" ht="76.5">
      <c r="A11" s="1951" t="s">
        <v>1617</v>
      </c>
    </row>
    <row r="12" spans="1:1" ht="18.75">
      <c r="A12" s="1949" t="s">
        <v>1618</v>
      </c>
    </row>
    <row r="13" spans="1:1" ht="38.25" customHeight="1">
      <c r="A13" s="1952" t="str">
        <f>IF(项目基本情况!B8="抵押",IF(项目基本情况!B5=项目基本情况!B6,定义!C51,定义!B51),定义!D51)</f>
        <v>为估价委托人在向民生信托办理贷款手续过程中，确定房地产抵押贷款额度提供参考依据而评估房地产抵押价值。</v>
      </c>
    </row>
    <row r="14" spans="1:1" ht="18.75">
      <c r="A14" s="1953" t="s">
        <v>1619</v>
      </c>
    </row>
    <row r="15" spans="1:1" ht="18">
      <c r="A15" s="1954" t="str">
        <f>TEXT(项目基本情况!D3,"yyyy年m月d日;;")&amp;IF(项目基本情况!D3=项目基本情况!B3,"（评估专业人员实地查勘之日）","")</f>
        <v>2018年1月11日（评估专业人员实地查勘之日）</v>
      </c>
    </row>
    <row r="16" spans="1:1" ht="18.75">
      <c r="A16" s="1953" t="s">
        <v>1620</v>
      </c>
    </row>
    <row r="17" spans="1:1" ht="75">
      <c r="A17" s="1948" t="s">
        <v>1621</v>
      </c>
    </row>
    <row r="18" spans="1:1" ht="72">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月11日，估价对象规划用途为住宅、地下仓储、地下车库，土地取得方式为出让，出让国有建设用地使用权剩余土地使用年限为住宅67.9年、地下仓储及地下车库47.9年，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地下仓储、地下车库，实际开发程度为宗地红线外“七通”（即、、、、、、）、红线内场地平整条件下，剩余土地使用年限为住宅67.9年、地下仓储及地下车库47.9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3" t="s">
        <v>1610</v>
      </c>
    </row>
    <row r="24" spans="1:1" ht="18">
      <c r="A24" s="1955" t="str">
        <f>"本次评估采用的主估价方法为"&amp;结果表!K4&amp;"和"&amp;结果表!L4&amp;"。"</f>
        <v>本次评估采用的主估价方法为成本法和假设开发法。</v>
      </c>
    </row>
    <row r="25" spans="1:1" ht="18">
      <c r="A25" s="1955"/>
    </row>
    <row r="26" spans="1:1" ht="18.75">
      <c r="A26" s="1956" t="s">
        <v>1611</v>
      </c>
    </row>
    <row r="27" spans="1:1">
      <c r="A27" s="1957"/>
    </row>
    <row r="28" spans="1:1">
      <c r="A28" s="1957"/>
    </row>
    <row r="29" spans="1:1">
      <c r="A29" s="1957"/>
    </row>
    <row r="30" spans="1:1">
      <c r="A30" s="1957"/>
    </row>
    <row r="31" spans="1:1">
      <c r="A31" s="1957"/>
    </row>
    <row r="32" spans="1:1">
      <c r="A32" s="1957"/>
    </row>
    <row r="33" spans="1:1">
      <c r="A33" s="1957"/>
    </row>
    <row r="34" spans="1:1">
      <c r="A34" s="1957"/>
    </row>
    <row r="35" spans="1:1">
      <c r="A35" s="1957"/>
    </row>
    <row r="36" spans="1:1">
      <c r="A36" s="1957"/>
    </row>
    <row r="37" spans="1:1">
      <c r="A37" s="1957"/>
    </row>
    <row r="38" spans="1:1">
      <c r="A38" s="1957"/>
    </row>
    <row r="39" spans="1:1">
      <c r="A39" s="1957"/>
    </row>
    <row r="40" spans="1:1">
      <c r="A40" s="1957"/>
    </row>
    <row r="41" spans="1:1">
      <c r="A41" s="1957"/>
    </row>
    <row r="42" spans="1:1">
      <c r="A42" s="1957"/>
    </row>
    <row r="43" spans="1:1">
      <c r="A43" s="1957"/>
    </row>
    <row r="44" spans="1:1">
      <c r="A44" s="1957"/>
    </row>
    <row r="45" spans="1:1">
      <c r="A45" s="1957"/>
    </row>
    <row r="46" spans="1:1">
      <c r="A46" s="1957"/>
    </row>
    <row r="47" spans="1:1">
      <c r="A47" s="1957"/>
    </row>
    <row r="48" spans="1:1">
      <c r="A48" s="195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0" customWidth="1"/>
    <col min="2" max="2" width="37.25" style="1960" customWidth="1"/>
    <col min="3" max="3" width="11.375" style="1960" customWidth="1"/>
    <col min="4" max="4" width="31.75" style="1960" customWidth="1"/>
    <col min="5" max="5" width="0.5" style="1960" customWidth="1"/>
    <col min="6" max="7" width="13" style="1960" customWidth="1"/>
    <col min="8" max="16384" width="9" style="1960"/>
  </cols>
  <sheetData>
    <row r="1" spans="1:5" ht="18.75">
      <c r="A1" s="1958" t="s">
        <v>1622</v>
      </c>
      <c r="B1" s="1959"/>
      <c r="C1" s="1959"/>
      <c r="D1" s="1959"/>
      <c r="E1" s="1959"/>
    </row>
    <row r="2" spans="1:5" ht="78" customHeight="1">
      <c r="A2" s="311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12"/>
      <c r="C2" s="3112"/>
      <c r="D2" s="3112"/>
      <c r="E2" s="3112"/>
    </row>
    <row r="3" spans="1:5" ht="18">
      <c r="A3" s="3113" t="str">
        <f>IF(项目基本情况!B9="房地产市场价值","估价结果一览表（市场价值不需“结果表-1”）","估价结果一览表")</f>
        <v>估价结果一览表</v>
      </c>
      <c r="B3" s="3113"/>
      <c r="C3" s="3113"/>
      <c r="D3" s="3113"/>
      <c r="E3" s="3113"/>
    </row>
    <row r="4" spans="1:5" ht="19.5" thickBot="1">
      <c r="A4" s="1961"/>
      <c r="B4" s="3111" t="s">
        <v>1631</v>
      </c>
      <c r="C4" s="3111"/>
      <c r="D4" s="3111"/>
      <c r="E4" s="1961"/>
    </row>
    <row r="5" spans="1:5" ht="16.5" thickTop="1">
      <c r="A5" s="1959"/>
      <c r="B5" s="3109" t="s">
        <v>1623</v>
      </c>
      <c r="C5" s="1962" t="s">
        <v>1624</v>
      </c>
      <c r="D5" s="1040">
        <f ca="1">结果表!H101</f>
        <v>271791</v>
      </c>
      <c r="E5" s="1959"/>
    </row>
    <row r="6" spans="1:5" ht="15.75">
      <c r="A6" s="1959"/>
      <c r="B6" s="3109"/>
      <c r="C6" s="1962" t="s">
        <v>1625</v>
      </c>
      <c r="D6" s="1040" t="str">
        <f ca="1">NUMBERSTRING(INT(D5*10000),2)&amp;"元整"</f>
        <v>贰拾柒亿壹仟柒佰玖拾壹万元整</v>
      </c>
      <c r="E6" s="1959"/>
    </row>
    <row r="7" spans="1:5" ht="15.75">
      <c r="A7" s="1959"/>
      <c r="B7" s="3114"/>
      <c r="C7" s="1963" t="s">
        <v>1626</v>
      </c>
      <c r="D7" s="1041">
        <f ca="1">结果表!H102</f>
        <v>23161</v>
      </c>
      <c r="E7" s="1959"/>
    </row>
    <row r="8" spans="1:5" ht="15.75">
      <c r="A8" s="1959"/>
      <c r="B8" s="3115" t="str">
        <f>结果表!E103</f>
        <v>2.估价师知悉的法定优先受偿款</v>
      </c>
      <c r="C8" s="1964" t="s">
        <v>1627</v>
      </c>
      <c r="D8" s="1041">
        <f>结果表!H103</f>
        <v>0</v>
      </c>
      <c r="E8" s="1959"/>
    </row>
    <row r="9" spans="1:5" ht="15.75">
      <c r="A9" s="1959"/>
      <c r="B9" s="3117"/>
      <c r="C9" s="1962" t="s">
        <v>1625</v>
      </c>
      <c r="D9" s="1040" t="str">
        <f>NUMBERSTRING(INT(D8*10000),2)&amp;"元整"</f>
        <v>零元整</v>
      </c>
      <c r="E9" s="1959"/>
    </row>
    <row r="10" spans="1:5" ht="15">
      <c r="A10" s="1959"/>
      <c r="B10" s="1965" t="s">
        <v>1630</v>
      </c>
      <c r="C10" s="1966" t="s">
        <v>1628</v>
      </c>
      <c r="D10" s="1042">
        <f>结果表!H104</f>
        <v>0</v>
      </c>
      <c r="E10" s="1959"/>
    </row>
    <row r="11" spans="1:5" ht="15">
      <c r="A11" s="1959"/>
      <c r="B11" s="1965" t="s">
        <v>1632</v>
      </c>
      <c r="C11" s="1966" t="s">
        <v>1633</v>
      </c>
      <c r="D11" s="1042">
        <f>结果表!H105</f>
        <v>0</v>
      </c>
      <c r="E11" s="1959"/>
    </row>
    <row r="12" spans="1:5" ht="15">
      <c r="A12" s="1959"/>
      <c r="B12" s="1965" t="s">
        <v>1634</v>
      </c>
      <c r="C12" s="1966" t="s">
        <v>1633</v>
      </c>
      <c r="D12" s="1042">
        <f>结果表!H106</f>
        <v>0</v>
      </c>
      <c r="E12" s="1959"/>
    </row>
    <row r="13" spans="1:5" ht="15.75">
      <c r="A13" s="1959"/>
      <c r="B13" s="3108" t="str">
        <f>结果表!E107</f>
        <v>3.房地产抵押价值</v>
      </c>
      <c r="C13" s="1967" t="s">
        <v>1624</v>
      </c>
      <c r="D13" s="1043">
        <f ca="1">结果表!H107</f>
        <v>271791</v>
      </c>
      <c r="E13" s="1959"/>
    </row>
    <row r="14" spans="1:5" ht="15.75">
      <c r="A14" s="1959"/>
      <c r="B14" s="3109"/>
      <c r="C14" s="1962" t="s">
        <v>1625</v>
      </c>
      <c r="D14" s="1040" t="str">
        <f ca="1">NUMBERSTRING(INT(D13*10000),2)&amp;"元整"</f>
        <v>贰拾柒亿壹仟柒佰玖拾壹万元整</v>
      </c>
      <c r="E14" s="1959"/>
    </row>
    <row r="15" spans="1:5" ht="15">
      <c r="A15" s="1959"/>
      <c r="B15" s="3114"/>
      <c r="C15" s="1963" t="s">
        <v>1635</v>
      </c>
      <c r="D15" s="1052">
        <f ca="1">结果表!H108</f>
        <v>23161</v>
      </c>
      <c r="E15" s="1959"/>
    </row>
    <row r="16" spans="1:5" ht="15">
      <c r="A16" s="1959"/>
      <c r="B16" s="3115" t="str">
        <f>结果表!E109</f>
        <v>——</v>
      </c>
      <c r="C16" s="1967" t="s">
        <v>1636</v>
      </c>
      <c r="D16" s="1968" t="str">
        <f>结果表!H109</f>
        <v>——</v>
      </c>
      <c r="E16" s="1959"/>
    </row>
    <row r="17" spans="1:5" ht="15.75">
      <c r="A17" s="1959"/>
      <c r="B17" s="3116"/>
      <c r="C17" s="1962" t="s">
        <v>1637</v>
      </c>
      <c r="D17" s="1040" t="e">
        <f>NUMBERSTRING(INT(D16*10000),2)&amp;"元整"</f>
        <v>#VALUE!</v>
      </c>
      <c r="E17" s="1959"/>
    </row>
    <row r="18" spans="1:5" ht="15">
      <c r="A18" s="1959"/>
      <c r="B18" s="3117"/>
      <c r="C18" s="1963" t="s">
        <v>1626</v>
      </c>
      <c r="D18" s="1052" t="str">
        <f>结果表!H110</f>
        <v>——</v>
      </c>
      <c r="E18" s="1959"/>
    </row>
    <row r="19" spans="1:5" ht="15.75">
      <c r="A19" s="1959"/>
      <c r="B19" s="3108" t="str">
        <f>结果表!E111</f>
        <v>——</v>
      </c>
      <c r="C19" s="1967" t="s">
        <v>1624</v>
      </c>
      <c r="D19" s="1041" t="str">
        <f>结果表!H111</f>
        <v>——</v>
      </c>
      <c r="E19" s="1959"/>
    </row>
    <row r="20" spans="1:5" ht="15.75">
      <c r="A20" s="1959"/>
      <c r="B20" s="3109"/>
      <c r="C20" s="1962" t="s">
        <v>1637</v>
      </c>
      <c r="D20" s="1040" t="e">
        <f>NUMBERSTRING(INT(D19*10000),2)&amp;"元整"</f>
        <v>#VALUE!</v>
      </c>
      <c r="E20" s="1959"/>
    </row>
    <row r="21" spans="1:5" ht="15.75" thickBot="1">
      <c r="A21" s="1959"/>
      <c r="B21" s="3110"/>
      <c r="C21" s="1969" t="s">
        <v>1635</v>
      </c>
      <c r="D21" s="1053" t="str">
        <f>结果表!H112</f>
        <v>——</v>
      </c>
      <c r="E21" s="1959"/>
    </row>
    <row r="22" spans="1:5" ht="15" thickTop="1">
      <c r="A22" s="1959"/>
      <c r="B22" s="1970" t="s">
        <v>1638</v>
      </c>
      <c r="C22" s="1959"/>
      <c r="D22" s="1959"/>
      <c r="E22" s="1959"/>
    </row>
    <row r="23" spans="1:5">
      <c r="A23" s="1959"/>
      <c r="B23" s="1959"/>
      <c r="C23" s="1959"/>
      <c r="D23" s="1959"/>
      <c r="E23" s="1959"/>
    </row>
    <row r="24" spans="1:5" ht="18.75">
      <c r="A24" s="1971"/>
      <c r="B24" s="1972" t="s">
        <v>1629</v>
      </c>
      <c r="C24" s="1971"/>
      <c r="D24" s="1971"/>
      <c r="E24" s="1971"/>
    </row>
    <row r="25" spans="1:5">
      <c r="A25" s="1971"/>
      <c r="B25" s="1971"/>
      <c r="C25" s="1971"/>
      <c r="D25" s="1971"/>
      <c r="E25" s="1971"/>
    </row>
    <row r="26" spans="1:5">
      <c r="A26" s="1971"/>
      <c r="B26" s="1971"/>
      <c r="C26" s="1971"/>
      <c r="D26" s="1971"/>
      <c r="E26" s="1971"/>
    </row>
    <row r="27" spans="1:5">
      <c r="A27" s="1971"/>
      <c r="B27" s="1971"/>
      <c r="C27" s="1971"/>
      <c r="D27" s="1971"/>
      <c r="E27" s="1971"/>
    </row>
    <row r="28" spans="1:5">
      <c r="A28" s="1971"/>
      <c r="B28" s="1971"/>
      <c r="C28" s="1971"/>
      <c r="D28" s="1971"/>
      <c r="E28" s="1971"/>
    </row>
    <row r="29" spans="1:5">
      <c r="A29" s="1971"/>
      <c r="B29" s="1971"/>
      <c r="C29" s="1971"/>
      <c r="D29" s="1971"/>
      <c r="E29" s="1971"/>
    </row>
    <row r="30" spans="1:5">
      <c r="A30" s="1971"/>
      <c r="B30" s="1971"/>
      <c r="C30" s="1971"/>
      <c r="D30" s="1971"/>
      <c r="E30" s="1971"/>
    </row>
    <row r="31" spans="1:5">
      <c r="A31" s="1971"/>
      <c r="B31" s="1971"/>
      <c r="C31" s="1971"/>
      <c r="D31" s="1971"/>
      <c r="E31" s="1971"/>
    </row>
    <row r="32" spans="1:5">
      <c r="A32" s="1971"/>
      <c r="B32" s="1971"/>
      <c r="C32" s="1971"/>
      <c r="D32" s="1971"/>
      <c r="E32" s="1971"/>
    </row>
    <row r="33" spans="1:5">
      <c r="A33" s="1971"/>
      <c r="B33" s="1971"/>
      <c r="C33" s="1971"/>
      <c r="D33" s="1971"/>
      <c r="E33" s="1971"/>
    </row>
    <row r="34" spans="1:5">
      <c r="A34" s="1971"/>
      <c r="B34" s="1971"/>
      <c r="C34" s="1971"/>
      <c r="D34" s="1971"/>
      <c r="E34" s="1971"/>
    </row>
    <row r="35" spans="1:5">
      <c r="A35" s="1971"/>
      <c r="B35" s="1971"/>
      <c r="C35" s="1971"/>
      <c r="D35" s="1971"/>
      <c r="E35" s="1971"/>
    </row>
    <row r="36" spans="1:5">
      <c r="A36" s="1971"/>
      <c r="B36" s="1971"/>
      <c r="C36" s="1971"/>
      <c r="D36" s="1971"/>
      <c r="E36" s="1971"/>
    </row>
    <row r="37" spans="1:5">
      <c r="A37" s="1971"/>
      <c r="B37" s="1971"/>
      <c r="C37" s="1971"/>
      <c r="D37" s="1971"/>
      <c r="E37" s="1971"/>
    </row>
    <row r="38" spans="1:5">
      <c r="A38" s="1971"/>
      <c r="B38" s="1971"/>
      <c r="C38" s="1971"/>
      <c r="D38" s="1971"/>
      <c r="E38" s="1971"/>
    </row>
    <row r="39" spans="1:5">
      <c r="A39" s="1971"/>
      <c r="B39" s="1971"/>
      <c r="C39" s="1971"/>
      <c r="D39" s="1971"/>
      <c r="E39" s="1971"/>
    </row>
    <row r="40" spans="1:5">
      <c r="A40" s="1971"/>
      <c r="B40" s="1971"/>
      <c r="C40" s="1971"/>
      <c r="D40" s="1971"/>
      <c r="E40" s="1971"/>
    </row>
    <row r="41" spans="1:5">
      <c r="A41" s="1971"/>
      <c r="B41" s="1971"/>
      <c r="C41" s="1971"/>
      <c r="D41" s="1971"/>
      <c r="E41" s="1971"/>
    </row>
    <row r="42" spans="1:5">
      <c r="A42" s="1971"/>
      <c r="B42" s="1971"/>
      <c r="C42" s="1971"/>
      <c r="D42" s="1971"/>
      <c r="E42" s="19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5" customWidth="1"/>
    <col min="2" max="9" width="12.125" style="1945" customWidth="1"/>
    <col min="10" max="16384" width="9" style="1945"/>
  </cols>
  <sheetData>
    <row r="1" spans="1:9" ht="18.75" thickBot="1">
      <c r="A1" s="3127" t="str">
        <f>IF(项目基本情况!B9="房地产市场价值","估价结果一览表","结果表-2")</f>
        <v>结果表-2</v>
      </c>
      <c r="B1" s="3127"/>
      <c r="C1" s="3127"/>
      <c r="D1" s="3127"/>
      <c r="E1" s="3127"/>
      <c r="F1" s="3127"/>
      <c r="G1" s="3127"/>
      <c r="H1" s="3127"/>
      <c r="I1" s="3127"/>
    </row>
    <row r="2" spans="1:9" ht="30" customHeight="1" thickTop="1">
      <c r="A2" s="3128" t="s">
        <v>1642</v>
      </c>
      <c r="B2" s="3128" t="s">
        <v>1643</v>
      </c>
      <c r="C2" s="3128" t="s">
        <v>1644</v>
      </c>
      <c r="D2" s="3128" t="str">
        <f>结果表!D116</f>
        <v>出让国有建设用地使用权价值</v>
      </c>
      <c r="E2" s="3128"/>
      <c r="F2" s="3128" t="str">
        <f>结果表!F116</f>
        <v>在建建筑物价值</v>
      </c>
      <c r="G2" s="3128"/>
      <c r="H2" s="3128" t="str">
        <f>IF(项目基本情况!B9="房地产市场价值","房地产市场价值","房地产价值")</f>
        <v>房地产价值</v>
      </c>
      <c r="I2" s="3128"/>
    </row>
    <row r="3" spans="1:9" ht="15">
      <c r="A3" s="3122"/>
      <c r="B3" s="3122"/>
      <c r="C3" s="3122"/>
      <c r="D3" s="1044" t="s">
        <v>1639</v>
      </c>
      <c r="E3" s="1044" t="s">
        <v>1645</v>
      </c>
      <c r="F3" s="1044" t="s">
        <v>1639</v>
      </c>
      <c r="G3" s="1044" t="s">
        <v>1640</v>
      </c>
      <c r="H3" s="1044" t="s">
        <v>1639</v>
      </c>
      <c r="I3" s="1044" t="s">
        <v>1640</v>
      </c>
    </row>
    <row r="4" spans="1:9" ht="45">
      <c r="A4" s="1973" t="str">
        <f>项目基本情况!S2</f>
        <v>北京市昌平区北七家镇GZT-05-1地块出让国有建设用地使用权及在建建筑物房地产</v>
      </c>
      <c r="B4" s="1044">
        <f>项目基本情况!C17</f>
        <v>117348.15999999993</v>
      </c>
      <c r="C4" s="1044">
        <f>项目基本情况!C18</f>
        <v>31136.97</v>
      </c>
      <c r="D4" s="1044">
        <f ca="1">结果表!D118</f>
        <v>239448</v>
      </c>
      <c r="E4" s="1044">
        <f ca="1">结果表!E118</f>
        <v>20405</v>
      </c>
      <c r="F4" s="1044">
        <f ca="1">结果表!F118</f>
        <v>32343</v>
      </c>
      <c r="G4" s="1044">
        <f ca="1">结果表!G118</f>
        <v>2756</v>
      </c>
      <c r="H4" s="1044">
        <f ca="1">结果表!H118</f>
        <v>271791</v>
      </c>
      <c r="I4" s="1044">
        <f ca="1">结果表!I118</f>
        <v>23161</v>
      </c>
    </row>
    <row r="5" spans="1:9" ht="30" customHeight="1">
      <c r="A5" s="3122" t="s">
        <v>1641</v>
      </c>
      <c r="B5" s="3122"/>
      <c r="C5" s="3122"/>
      <c r="D5" s="3123" t="str">
        <f ca="1">结果表!D119</f>
        <v>贰拾叁亿玖仟肆佰肆拾捌万元整</v>
      </c>
      <c r="E5" s="3123"/>
      <c r="F5" s="3123" t="str">
        <f ca="1">结果表!F119</f>
        <v>叁亿贰仟叁佰肆拾叁万元整</v>
      </c>
      <c r="G5" s="3123"/>
      <c r="H5" s="3123" t="str">
        <f ca="1">结果表!H119</f>
        <v>贰拾柒亿壹仟柒佰玖拾壹万元整</v>
      </c>
      <c r="I5" s="3123"/>
    </row>
    <row r="6" spans="1:9" ht="15.75">
      <c r="A6" s="3121" t="str">
        <f>结果表!A120</f>
        <v>估价师知悉的法定优先受偿款</v>
      </c>
      <c r="B6" s="3121"/>
      <c r="C6" s="3121"/>
      <c r="D6" s="3121">
        <f>结果表!D120</f>
        <v>0</v>
      </c>
      <c r="E6" s="3121"/>
      <c r="F6" s="3121"/>
      <c r="G6" s="3121"/>
      <c r="H6" s="3121"/>
      <c r="I6" s="3121"/>
    </row>
    <row r="7" spans="1:9" ht="15">
      <c r="A7" s="3122" t="s">
        <v>1641</v>
      </c>
      <c r="B7" s="3122"/>
      <c r="C7" s="3122"/>
      <c r="D7" s="3124" t="str">
        <f>结果表!D121</f>
        <v>零元整</v>
      </c>
      <c r="E7" s="3125"/>
      <c r="F7" s="3125"/>
      <c r="G7" s="3125"/>
      <c r="H7" s="3125"/>
      <c r="I7" s="3126"/>
    </row>
    <row r="8" spans="1:9" ht="15.75">
      <c r="A8" s="3121" t="str">
        <f>结果表!A122</f>
        <v>房地产抵押价值</v>
      </c>
      <c r="B8" s="3121"/>
      <c r="C8" s="3121"/>
      <c r="D8" s="3121">
        <f ca="1">结果表!D122</f>
        <v>271791</v>
      </c>
      <c r="E8" s="3121"/>
      <c r="F8" s="3121"/>
      <c r="G8" s="3121"/>
      <c r="H8" s="3121"/>
      <c r="I8" s="3121"/>
    </row>
    <row r="9" spans="1:9" ht="15">
      <c r="A9" s="3122" t="s">
        <v>1641</v>
      </c>
      <c r="B9" s="3122"/>
      <c r="C9" s="3122"/>
      <c r="D9" s="3123" t="str">
        <f ca="1">结果表!D123</f>
        <v>贰拾柒亿壹仟柒佰玖拾壹万元整</v>
      </c>
      <c r="E9" s="3123"/>
      <c r="F9" s="3123"/>
      <c r="G9" s="3123"/>
      <c r="H9" s="3123"/>
      <c r="I9" s="3123"/>
    </row>
    <row r="10" spans="1:9" ht="15.75">
      <c r="A10" s="3121" t="str">
        <f>结果表!A124</f>
        <v/>
      </c>
      <c r="B10" s="3121"/>
      <c r="C10" s="3121"/>
      <c r="D10" s="3121" t="str">
        <f>结果表!D124</f>
        <v>——</v>
      </c>
      <c r="E10" s="3121"/>
      <c r="F10" s="3121"/>
      <c r="G10" s="3121"/>
      <c r="H10" s="3121"/>
      <c r="I10" s="3121"/>
    </row>
    <row r="11" spans="1:9" ht="15">
      <c r="A11" s="3122" t="s">
        <v>1641</v>
      </c>
      <c r="B11" s="3122"/>
      <c r="C11" s="3122"/>
      <c r="D11" s="3123" t="e">
        <f>结果表!D125</f>
        <v>#VALUE!</v>
      </c>
      <c r="E11" s="3123"/>
      <c r="F11" s="3123"/>
      <c r="G11" s="3123"/>
      <c r="H11" s="3123"/>
      <c r="I11" s="3123"/>
    </row>
    <row r="12" spans="1:9" ht="15.75">
      <c r="A12" s="3121" t="str">
        <f>结果表!A126</f>
        <v/>
      </c>
      <c r="B12" s="3121"/>
      <c r="C12" s="3121"/>
      <c r="D12" s="3121" t="str">
        <f>结果表!D126</f>
        <v>——</v>
      </c>
      <c r="E12" s="3121"/>
      <c r="F12" s="3121"/>
      <c r="G12" s="3121"/>
      <c r="H12" s="3121"/>
      <c r="I12" s="3121"/>
    </row>
    <row r="13" spans="1:9" ht="15.75" thickBot="1">
      <c r="A13" s="3118" t="s">
        <v>1641</v>
      </c>
      <c r="B13" s="3118"/>
      <c r="C13" s="3118"/>
      <c r="D13" s="3119" t="e">
        <f>结果表!D127</f>
        <v>#VALUE!</v>
      </c>
      <c r="E13" s="3119"/>
      <c r="F13" s="3119"/>
      <c r="G13" s="3119"/>
      <c r="H13" s="3119"/>
      <c r="I13" s="3119"/>
    </row>
    <row r="14" spans="1:9" ht="15" thickTop="1">
      <c r="A14" s="3120" t="s">
        <v>1646</v>
      </c>
      <c r="B14" s="3120"/>
      <c r="C14" s="3120"/>
      <c r="D14" s="3120"/>
      <c r="E14" s="3120"/>
      <c r="F14" s="3120"/>
      <c r="G14" s="3120"/>
      <c r="H14" s="3120"/>
      <c r="I14" s="3120"/>
    </row>
    <row r="16" spans="1:9" ht="18.75">
      <c r="A16" s="1974" t="s">
        <v>1629</v>
      </c>
      <c r="B16" s="1957"/>
      <c r="C16" s="1957"/>
      <c r="D16" s="1957"/>
      <c r="E16" s="1957"/>
      <c r="F16" s="1957"/>
      <c r="G16" s="1957"/>
      <c r="H16" s="1957"/>
      <c r="I16" s="1957"/>
    </row>
    <row r="17" spans="1:9">
      <c r="A17" s="1957"/>
      <c r="B17" s="1957"/>
      <c r="C17" s="1957"/>
      <c r="D17" s="1957"/>
      <c r="E17" s="1957"/>
      <c r="F17" s="1957"/>
      <c r="G17" s="1957"/>
      <c r="H17" s="1957"/>
      <c r="I17" s="1957"/>
    </row>
    <row r="18" spans="1:9">
      <c r="A18" s="1957"/>
      <c r="B18" s="1957"/>
      <c r="C18" s="1957"/>
      <c r="D18" s="1957"/>
      <c r="E18" s="1957"/>
      <c r="F18" s="1957"/>
      <c r="G18" s="1957"/>
      <c r="H18" s="1957"/>
      <c r="I18" s="1957"/>
    </row>
    <row r="19" spans="1:9">
      <c r="A19" s="1957"/>
      <c r="B19" s="1957"/>
      <c r="C19" s="1957"/>
      <c r="D19" s="1957"/>
      <c r="E19" s="1957"/>
      <c r="F19" s="1957"/>
      <c r="G19" s="1957"/>
      <c r="H19" s="1957"/>
      <c r="I19" s="1957"/>
    </row>
    <row r="20" spans="1:9">
      <c r="A20" s="1957"/>
      <c r="B20" s="1957"/>
      <c r="C20" s="1957"/>
      <c r="D20" s="1957"/>
      <c r="E20" s="1957"/>
      <c r="F20" s="1957"/>
      <c r="G20" s="1957"/>
      <c r="H20" s="1957"/>
      <c r="I20" s="1957"/>
    </row>
    <row r="21" spans="1:9">
      <c r="A21" s="1957"/>
      <c r="B21" s="1957"/>
      <c r="C21" s="1957"/>
      <c r="D21" s="1957"/>
      <c r="E21" s="1957"/>
      <c r="F21" s="1957"/>
      <c r="G21" s="1957"/>
      <c r="H21" s="1957"/>
      <c r="I21" s="1957"/>
    </row>
    <row r="22" spans="1:9">
      <c r="A22" s="1957"/>
      <c r="B22" s="1957"/>
      <c r="C22" s="1957"/>
      <c r="D22" s="1957"/>
      <c r="E22" s="1957"/>
      <c r="F22" s="1957"/>
      <c r="G22" s="1957"/>
      <c r="H22" s="1957"/>
      <c r="I22" s="195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5" customWidth="1"/>
    <col min="2" max="3" width="22.375" style="1945" customWidth="1"/>
    <col min="4" max="4" width="23" style="1945" customWidth="1"/>
    <col min="5" max="16384" width="9" style="1945"/>
  </cols>
  <sheetData>
    <row r="1" spans="1:4" ht="18.75">
      <c r="A1" s="3135" t="s">
        <v>1663</v>
      </c>
      <c r="B1" s="3135"/>
      <c r="C1" s="3135"/>
      <c r="D1" s="3135"/>
    </row>
    <row r="2" spans="1:4" ht="18">
      <c r="A2" s="3136" t="s">
        <v>1647</v>
      </c>
      <c r="B2" s="3136"/>
      <c r="C2" s="3136"/>
      <c r="D2" s="3136"/>
    </row>
    <row r="3" spans="1:4" ht="18.75">
      <c r="A3" s="1977" t="s">
        <v>1648</v>
      </c>
      <c r="B3" s="1977" t="s">
        <v>1649</v>
      </c>
      <c r="C3" s="1977" t="s">
        <v>1650</v>
      </c>
      <c r="D3" s="1977" t="s">
        <v>1651</v>
      </c>
    </row>
    <row r="4" spans="1:4" ht="56.25" customHeight="1">
      <c r="A4" s="1978" t="str">
        <f>项目基本情况!B4</f>
        <v>刘梅</v>
      </c>
      <c r="B4" s="1979">
        <f ca="1">项目基本情况!C4</f>
        <v>1120140022</v>
      </c>
      <c r="C4" s="1980"/>
      <c r="D4" s="1981" t="s">
        <v>1652</v>
      </c>
    </row>
    <row r="5" spans="1:4" ht="56.25" customHeight="1">
      <c r="A5" s="1978" t="str">
        <f>项目基本情况!D4</f>
        <v>吴薇</v>
      </c>
      <c r="B5" s="1979">
        <f ca="1">项目基本情况!E4</f>
        <v>1419970001</v>
      </c>
      <c r="C5" s="1982"/>
      <c r="D5" s="1981" t="s">
        <v>1652</v>
      </c>
    </row>
    <row r="6" spans="1:4" ht="18">
      <c r="A6" s="3136" t="s">
        <v>1653</v>
      </c>
      <c r="B6" s="3136"/>
      <c r="C6" s="3136"/>
      <c r="D6" s="3136"/>
    </row>
    <row r="7" spans="1:4" ht="18.75">
      <c r="A7" s="1977" t="s">
        <v>1648</v>
      </c>
      <c r="B7" s="1979" t="s">
        <v>1654</v>
      </c>
      <c r="C7" s="1977" t="s">
        <v>1650</v>
      </c>
      <c r="D7" s="1977" t="s">
        <v>1651</v>
      </c>
    </row>
    <row r="8" spans="1:4" ht="56.25" customHeight="1">
      <c r="A8" s="1983" t="s">
        <v>869</v>
      </c>
      <c r="B8" s="1983" t="s">
        <v>1</v>
      </c>
      <c r="C8" s="1980"/>
      <c r="D8" s="1981" t="s">
        <v>1652</v>
      </c>
    </row>
    <row r="9" spans="1:4">
      <c r="A9" s="728"/>
      <c r="B9" s="728"/>
      <c r="C9" s="728"/>
      <c r="D9" s="728"/>
    </row>
    <row r="10" spans="1:4" ht="18.75">
      <c r="A10" s="1984" t="s">
        <v>1655</v>
      </c>
      <c r="B10" s="728"/>
      <c r="C10" s="728"/>
      <c r="D10" s="728"/>
    </row>
    <row r="11" spans="1:4" ht="30" customHeight="1">
      <c r="A11" s="3137" t="s">
        <v>1656</v>
      </c>
      <c r="B11" s="3129"/>
      <c r="C11" s="3129"/>
      <c r="D11" s="3129"/>
    </row>
    <row r="12" spans="1:4" ht="15.75">
      <c r="A12" s="312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34"/>
      <c r="C12" s="3134"/>
      <c r="D12" s="3134"/>
    </row>
    <row r="13" spans="1:4" ht="30" customHeight="1">
      <c r="A13" s="312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34"/>
      <c r="C13" s="3134"/>
      <c r="D13" s="3134"/>
    </row>
    <row r="14" spans="1:4" ht="15.75" customHeight="1">
      <c r="A14" s="3129" t="str">
        <f>IF(项目基本情况!B8="抵押","4.本次评估估价师所知悉的法定优先受偿款情况说明如下：","——")</f>
        <v>4.本次评估估价师所知悉的法定优先受偿款情况说明如下：</v>
      </c>
      <c r="B14" s="3134"/>
      <c r="C14" s="3134"/>
      <c r="D14" s="3134"/>
    </row>
    <row r="15" spans="1:4" ht="42" customHeight="1">
      <c r="A15" s="3129" t="str">
        <f>IF(项目基本情况!B8="抵押","（1）"&amp;CONCATENATE(项目基本情况!L20,项目基本情况!L21,项目基本情况!L22),"——")</f>
        <v>（1）根据估价对象《不动产权证书》原件、，截至价值时点，估价对象已设定抵押。上述抵押权设定日期为，权利人为，权利范围为，权利价值为。</v>
      </c>
      <c r="B15" s="3129"/>
      <c r="C15" s="3129"/>
      <c r="D15" s="3129"/>
    </row>
    <row r="16" spans="1:4" ht="30" customHeight="1">
      <c r="A16" s="3131" t="s">
        <v>1657</v>
      </c>
      <c r="B16" s="3131"/>
      <c r="C16" s="3131"/>
      <c r="D16" s="3131"/>
    </row>
    <row r="17" spans="1:4" ht="144" customHeight="1">
      <c r="A17" s="3131" t="s">
        <v>1658</v>
      </c>
      <c r="B17" s="3131"/>
      <c r="C17" s="3131"/>
      <c r="D17" s="3131"/>
    </row>
    <row r="18" spans="1:4" ht="15.75" customHeight="1">
      <c r="A18" s="3129" t="str">
        <f>IF(项目基本情况!B8="抵押",结果表!K120,"——")</f>
        <v>故，本次评估不存在估价师知悉的法定优先受偿款</v>
      </c>
      <c r="B18" s="3129"/>
      <c r="C18" s="3129"/>
      <c r="D18" s="3129"/>
    </row>
    <row r="19" spans="1:4" ht="46.5" customHeight="1">
      <c r="A19" s="312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29"/>
      <c r="C19" s="3129"/>
      <c r="D19" s="3129"/>
    </row>
    <row r="20" spans="1:4" ht="57.75" customHeight="1">
      <c r="A20" s="312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29"/>
      <c r="C20" s="3129"/>
      <c r="D20" s="3129"/>
    </row>
    <row r="21" spans="1:4" ht="57.75" customHeight="1">
      <c r="A21" s="313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32"/>
      <c r="C21" s="3132"/>
      <c r="D21" s="3132"/>
    </row>
    <row r="22" spans="1:4" ht="18.75" customHeight="1">
      <c r="A22" s="3133" t="s">
        <v>1659</v>
      </c>
      <c r="B22" s="3133"/>
      <c r="C22" s="3133"/>
      <c r="D22" s="3133"/>
    </row>
    <row r="23" spans="1:4">
      <c r="A23" s="1985"/>
      <c r="B23" s="1957"/>
      <c r="C23" s="1957"/>
      <c r="D23" s="1957"/>
    </row>
    <row r="24" spans="1:4">
      <c r="A24" s="1985"/>
      <c r="B24" s="1957"/>
      <c r="C24" s="1957"/>
      <c r="D24" s="1957"/>
    </row>
    <row r="25" spans="1:4" ht="18.75">
      <c r="A25" s="1986" t="s">
        <v>1660</v>
      </c>
    </row>
    <row r="26" spans="1:4" ht="18">
      <c r="A26" s="1955"/>
    </row>
    <row r="27" spans="1:4" ht="18.75">
      <c r="A27" s="1955" t="s">
        <v>1661</v>
      </c>
    </row>
    <row r="30" spans="1:4" ht="18.75">
      <c r="D30" s="1986" t="s">
        <v>1662</v>
      </c>
    </row>
    <row r="31" spans="1:4" ht="13.5" customHeight="1">
      <c r="C31" s="3130">
        <v>42551</v>
      </c>
      <c r="D31" s="313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3" customWidth="1"/>
    <col min="3" max="10" width="12.5" style="1943" customWidth="1"/>
    <col min="11" max="16384" width="9" style="1943"/>
  </cols>
  <sheetData>
    <row r="1" spans="1:10" ht="18.75">
      <c r="A1" s="1976" t="s">
        <v>870</v>
      </c>
      <c r="B1" s="1987"/>
      <c r="C1" s="1987"/>
      <c r="D1" s="1987"/>
      <c r="E1" s="1987"/>
      <c r="F1" s="1987"/>
      <c r="G1" s="1987"/>
      <c r="H1" s="1987"/>
      <c r="I1" s="1987"/>
      <c r="J1" s="1987"/>
    </row>
    <row r="2" spans="1:10" ht="18.75">
      <c r="A2" s="1988"/>
      <c r="B2" s="1987"/>
      <c r="C2" s="1987"/>
      <c r="D2" s="1987"/>
      <c r="E2" s="1987"/>
      <c r="F2" s="1987"/>
      <c r="G2" s="1987"/>
      <c r="H2" s="1987"/>
      <c r="I2" s="1987"/>
      <c r="J2" s="1987"/>
    </row>
    <row r="3" spans="1:10">
      <c r="A3" s="1987"/>
      <c r="B3" s="1987"/>
      <c r="C3" s="1987"/>
      <c r="D3" s="1987"/>
      <c r="E3" s="1987"/>
      <c r="F3" s="1987"/>
      <c r="G3" s="1987"/>
      <c r="H3" s="1987"/>
      <c r="I3" s="1987"/>
      <c r="J3" s="1987"/>
    </row>
    <row r="4" spans="1:10">
      <c r="A4" s="1987"/>
      <c r="B4" s="1987"/>
      <c r="C4" s="1987"/>
      <c r="D4" s="1987"/>
      <c r="E4" s="1987"/>
      <c r="F4" s="1987"/>
      <c r="G4" s="1987"/>
      <c r="H4" s="1987"/>
      <c r="I4" s="1987"/>
      <c r="J4" s="1987"/>
    </row>
    <row r="5" spans="1:10">
      <c r="A5" s="1987"/>
      <c r="B5" s="1987"/>
      <c r="C5" s="1987"/>
      <c r="D5" s="1987"/>
      <c r="E5" s="1987"/>
      <c r="F5" s="1987"/>
      <c r="G5" s="1987"/>
      <c r="H5" s="1987"/>
      <c r="I5" s="1987"/>
      <c r="J5" s="1987"/>
    </row>
    <row r="6" spans="1:10">
      <c r="A6" s="1987"/>
      <c r="B6" s="1987"/>
      <c r="C6" s="1987"/>
      <c r="D6" s="1987"/>
      <c r="E6" s="1987"/>
      <c r="F6" s="1987"/>
      <c r="G6" s="1987"/>
      <c r="H6" s="1987"/>
      <c r="I6" s="1987"/>
      <c r="J6" s="1987"/>
    </row>
    <row r="7" spans="1:10">
      <c r="A7" s="1987"/>
      <c r="B7" s="1987"/>
      <c r="C7" s="1987"/>
      <c r="D7" s="1987"/>
      <c r="E7" s="1987"/>
      <c r="F7" s="1987"/>
      <c r="G7" s="1987"/>
      <c r="H7" s="1987"/>
      <c r="I7" s="1987"/>
      <c r="J7" s="1987"/>
    </row>
    <row r="8" spans="1:10">
      <c r="A8" s="1987"/>
      <c r="B8" s="1987"/>
      <c r="C8" s="1987"/>
      <c r="D8" s="1987"/>
      <c r="E8" s="1987"/>
      <c r="F8" s="1987"/>
      <c r="G8" s="1987"/>
      <c r="H8" s="1987"/>
      <c r="I8" s="1987"/>
      <c r="J8" s="1987"/>
    </row>
    <row r="9" spans="1:10">
      <c r="A9" s="1987"/>
      <c r="B9" s="1987"/>
      <c r="C9" s="1987"/>
      <c r="D9" s="1987"/>
      <c r="E9" s="1987"/>
      <c r="F9" s="1987"/>
      <c r="G9" s="1987"/>
      <c r="H9" s="1987"/>
      <c r="I9" s="1987"/>
      <c r="J9" s="1987"/>
    </row>
    <row r="10" spans="1:10">
      <c r="A10" s="1987"/>
      <c r="B10" s="1987"/>
      <c r="C10" s="1987"/>
      <c r="D10" s="1987"/>
      <c r="E10" s="1987"/>
      <c r="F10" s="1987"/>
      <c r="G10" s="1987"/>
      <c r="H10" s="1987"/>
      <c r="I10" s="1987"/>
      <c r="J10" s="1987"/>
    </row>
    <row r="11" spans="1:10">
      <c r="A11" s="1987"/>
      <c r="B11" s="1987"/>
      <c r="C11" s="1987"/>
      <c r="D11" s="1987"/>
      <c r="E11" s="1987"/>
      <c r="F11" s="1987"/>
      <c r="G11" s="1987"/>
      <c r="H11" s="1987"/>
      <c r="I11" s="1987"/>
      <c r="J11" s="1987"/>
    </row>
    <row r="12" spans="1:10">
      <c r="A12" s="1987"/>
      <c r="B12" s="1987"/>
      <c r="C12" s="1987"/>
      <c r="D12" s="1987"/>
      <c r="E12" s="1987"/>
      <c r="F12" s="1987"/>
      <c r="G12" s="1987"/>
      <c r="H12" s="1987"/>
      <c r="I12" s="1987"/>
      <c r="J12" s="1987"/>
    </row>
    <row r="13" spans="1:10">
      <c r="A13" s="1987"/>
      <c r="B13" s="1987"/>
      <c r="C13" s="1987"/>
      <c r="D13" s="1987"/>
      <c r="E13" s="1987"/>
      <c r="F13" s="1987"/>
      <c r="G13" s="1987"/>
      <c r="H13" s="1987"/>
      <c r="I13" s="1987"/>
      <c r="J13" s="1987"/>
    </row>
    <row r="14" spans="1:10">
      <c r="A14" s="1987"/>
      <c r="B14" s="1987"/>
      <c r="C14" s="1987"/>
      <c r="D14" s="1987"/>
      <c r="E14" s="1987"/>
      <c r="F14" s="1987"/>
      <c r="G14" s="1987"/>
      <c r="H14" s="1987"/>
      <c r="I14" s="1987"/>
      <c r="J14" s="1987"/>
    </row>
    <row r="15" spans="1:10">
      <c r="A15" s="1987"/>
      <c r="B15" s="1987"/>
      <c r="C15" s="1987"/>
      <c r="D15" s="1987"/>
      <c r="E15" s="1987"/>
      <c r="F15" s="1987"/>
      <c r="G15" s="1987"/>
      <c r="H15" s="1987"/>
      <c r="I15" s="1987"/>
      <c r="J15" s="1987"/>
    </row>
    <row r="16" spans="1:10">
      <c r="A16" s="1987"/>
      <c r="B16" s="1987"/>
      <c r="C16" s="1987"/>
      <c r="D16" s="1987"/>
      <c r="E16" s="1987"/>
      <c r="F16" s="1987"/>
      <c r="G16" s="1987"/>
      <c r="H16" s="1987"/>
      <c r="I16" s="1987"/>
      <c r="J16" s="1987"/>
    </row>
    <row r="17" spans="1:10">
      <c r="A17" s="1987"/>
      <c r="B17" s="1987"/>
      <c r="C17" s="1987"/>
      <c r="D17" s="1987"/>
      <c r="E17" s="1987"/>
      <c r="F17" s="1987"/>
      <c r="G17" s="1987"/>
      <c r="H17" s="1987"/>
      <c r="I17" s="1987"/>
      <c r="J17" s="1987"/>
    </row>
    <row r="18" spans="1:10">
      <c r="A18" s="1987"/>
      <c r="B18" s="1987"/>
      <c r="C18" s="1987"/>
      <c r="D18" s="1987"/>
      <c r="E18" s="1987"/>
      <c r="F18" s="1987"/>
      <c r="G18" s="1987"/>
      <c r="H18" s="1987"/>
      <c r="I18" s="1987"/>
      <c r="J18" s="1987"/>
    </row>
    <row r="19" spans="1:10">
      <c r="A19" s="1987"/>
      <c r="B19" s="1987"/>
      <c r="C19" s="1987"/>
      <c r="D19" s="1987"/>
      <c r="E19" s="1987"/>
      <c r="F19" s="1987"/>
      <c r="G19" s="1987"/>
      <c r="H19" s="1987"/>
      <c r="I19" s="1987"/>
      <c r="J19" s="1987"/>
    </row>
    <row r="20" spans="1:10">
      <c r="A20" s="1987"/>
      <c r="B20" s="1987"/>
      <c r="C20" s="1987"/>
      <c r="D20" s="1987"/>
      <c r="E20" s="1987"/>
      <c r="F20" s="1987"/>
      <c r="G20" s="1987"/>
      <c r="H20" s="1987"/>
      <c r="I20" s="1987"/>
      <c r="J20" s="1987"/>
    </row>
    <row r="21" spans="1:10">
      <c r="A21" s="1987"/>
      <c r="B21" s="1987"/>
      <c r="C21" s="1987"/>
      <c r="D21" s="1987"/>
      <c r="E21" s="1987"/>
      <c r="F21" s="1987"/>
      <c r="G21" s="1987"/>
      <c r="H21" s="1987"/>
      <c r="I21" s="1987"/>
      <c r="J21" s="1987"/>
    </row>
    <row r="22" spans="1:10">
      <c r="A22" s="1987"/>
      <c r="B22" s="1987"/>
      <c r="C22" s="1987"/>
      <c r="D22" s="1987"/>
      <c r="E22" s="1987"/>
      <c r="F22" s="1987"/>
      <c r="G22" s="1987"/>
      <c r="H22" s="1987"/>
      <c r="I22" s="1987"/>
      <c r="J22" s="1987"/>
    </row>
    <row r="23" spans="1:10">
      <c r="A23" s="1987"/>
      <c r="B23" s="1987"/>
      <c r="C23" s="1987"/>
      <c r="D23" s="1987"/>
      <c r="E23" s="1987"/>
      <c r="F23" s="1987"/>
      <c r="G23" s="1987"/>
      <c r="H23" s="1987"/>
      <c r="I23" s="1987"/>
      <c r="J23" s="1987"/>
    </row>
    <row r="24" spans="1:10">
      <c r="A24" s="1987"/>
      <c r="B24" s="1987"/>
      <c r="C24" s="1987"/>
      <c r="D24" s="1987"/>
      <c r="E24" s="1987"/>
      <c r="F24" s="1987"/>
      <c r="G24" s="1987"/>
      <c r="H24" s="1987"/>
      <c r="I24" s="1987"/>
      <c r="J24" s="1987"/>
    </row>
    <row r="25" spans="1:10">
      <c r="A25" s="1987"/>
      <c r="B25" s="1987"/>
      <c r="C25" s="1987"/>
      <c r="D25" s="1987"/>
      <c r="E25" s="1987"/>
      <c r="F25" s="1987"/>
      <c r="G25" s="1987"/>
      <c r="H25" s="1987"/>
      <c r="I25" s="1987"/>
      <c r="J25" s="1987"/>
    </row>
    <row r="26" spans="1:10">
      <c r="A26" s="1987"/>
      <c r="B26" s="1987"/>
      <c r="C26" s="1987"/>
      <c r="D26" s="1987"/>
      <c r="E26" s="1987"/>
      <c r="F26" s="1987"/>
      <c r="G26" s="1987"/>
      <c r="H26" s="1987"/>
      <c r="I26" s="1987"/>
      <c r="J26" s="1987"/>
    </row>
    <row r="27" spans="1:10">
      <c r="A27" s="1987"/>
      <c r="B27" s="1987"/>
      <c r="C27" s="1987"/>
      <c r="D27" s="1987"/>
      <c r="E27" s="1987"/>
      <c r="F27" s="1987"/>
      <c r="G27" s="1987"/>
      <c r="H27" s="1987"/>
      <c r="I27" s="1987"/>
      <c r="J27" s="1987"/>
    </row>
    <row r="28" spans="1:10">
      <c r="A28" s="1987"/>
      <c r="B28" s="1987"/>
      <c r="C28" s="1987"/>
      <c r="D28" s="1987"/>
      <c r="E28" s="1987"/>
      <c r="F28" s="1987"/>
      <c r="G28" s="1987"/>
      <c r="H28" s="1987"/>
      <c r="I28" s="1987"/>
      <c r="J28" s="1987"/>
    </row>
    <row r="29" spans="1:10">
      <c r="A29" s="1987"/>
      <c r="B29" s="1987"/>
      <c r="C29" s="1987"/>
      <c r="D29" s="1987"/>
      <c r="E29" s="1987"/>
      <c r="F29" s="1987"/>
      <c r="G29" s="1987"/>
      <c r="H29" s="1987"/>
      <c r="I29" s="1987"/>
      <c r="J29" s="1987"/>
    </row>
    <row r="30" spans="1:10">
      <c r="A30" s="1987"/>
      <c r="B30" s="1987"/>
      <c r="C30" s="1987"/>
      <c r="D30" s="1987"/>
      <c r="E30" s="1987"/>
      <c r="F30" s="1987"/>
      <c r="G30" s="1987"/>
      <c r="H30" s="1987"/>
      <c r="I30" s="1987"/>
      <c r="J30" s="1987"/>
    </row>
    <row r="31" spans="1:10">
      <c r="A31" s="1987"/>
      <c r="B31" s="1987"/>
      <c r="C31" s="1987"/>
      <c r="D31" s="1987"/>
      <c r="E31" s="1987"/>
      <c r="F31" s="1987"/>
      <c r="G31" s="1987"/>
      <c r="H31" s="1987"/>
      <c r="I31" s="1987"/>
      <c r="J31" s="198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3" customWidth="1"/>
    <col min="2" max="16384" width="14.5" style="1975"/>
  </cols>
  <sheetData>
    <row r="1" spans="1:7" s="1990" customFormat="1" ht="18.75">
      <c r="A1" s="1989" t="s">
        <v>1664</v>
      </c>
    </row>
    <row r="3" spans="1:7">
      <c r="A3" s="1991" t="s">
        <v>82</v>
      </c>
      <c r="B3" s="1975" t="s">
        <v>1665</v>
      </c>
      <c r="G3" s="1992"/>
    </row>
    <row r="4" spans="1:7">
      <c r="G4" s="1992"/>
    </row>
    <row r="5" spans="1:7">
      <c r="A5" s="1994" t="s">
        <v>73</v>
      </c>
      <c r="B5" s="1975" t="s">
        <v>1666</v>
      </c>
      <c r="G5" s="1992"/>
    </row>
    <row r="6" spans="1:7">
      <c r="G6" s="1992"/>
    </row>
    <row r="7" spans="1:7">
      <c r="A7" s="1995" t="s">
        <v>135</v>
      </c>
      <c r="B7" s="1975" t="s">
        <v>1667</v>
      </c>
      <c r="G7" s="1992"/>
    </row>
    <row r="8" spans="1:7">
      <c r="G8" s="1992"/>
    </row>
    <row r="9" spans="1:7">
      <c r="A9" s="1996" t="s">
        <v>74</v>
      </c>
      <c r="B9" s="1975" t="s">
        <v>1668</v>
      </c>
    </row>
    <row r="11" spans="1:7">
      <c r="A11" s="1997" t="s">
        <v>75</v>
      </c>
      <c r="B11" s="1998" t="s">
        <v>72</v>
      </c>
    </row>
    <row r="13" spans="1:7">
      <c r="A13" s="1999" t="s">
        <v>1669</v>
      </c>
    </row>
    <row r="15" spans="1:7" ht="13.5">
      <c r="A15" s="3143" t="s">
        <v>1670</v>
      </c>
      <c r="B15" s="3138" t="s">
        <v>136</v>
      </c>
      <c r="C15" s="3139"/>
    </row>
    <row r="16" spans="1:7" ht="13.5">
      <c r="A16" s="3144"/>
      <c r="B16" s="3138" t="s">
        <v>69</v>
      </c>
      <c r="C16" s="3139"/>
    </row>
    <row r="17" spans="1:3" ht="13.5">
      <c r="A17" s="3144"/>
      <c r="B17" s="3141" t="s">
        <v>1671</v>
      </c>
      <c r="C17" s="2000" t="s">
        <v>1670</v>
      </c>
    </row>
    <row r="18" spans="1:3" ht="13.5">
      <c r="A18" s="3144"/>
      <c r="B18" s="3141"/>
      <c r="C18" s="2000" t="s">
        <v>1672</v>
      </c>
    </row>
    <row r="19" spans="1:3" ht="13.5">
      <c r="A19" s="3144"/>
      <c r="B19" s="3141"/>
      <c r="C19" s="2000" t="s">
        <v>1673</v>
      </c>
    </row>
    <row r="20" spans="1:3" ht="13.5">
      <c r="A20" s="3145"/>
      <c r="B20" s="3140" t="s">
        <v>1674</v>
      </c>
      <c r="C20" s="3139"/>
    </row>
    <row r="21" spans="1:3" ht="13.5">
      <c r="A21" s="2001" t="s">
        <v>1675</v>
      </c>
      <c r="B21" s="2002"/>
      <c r="C21" s="2003"/>
    </row>
    <row r="22" spans="1:3" ht="13.5">
      <c r="A22" s="3142" t="s">
        <v>1676</v>
      </c>
      <c r="B22" s="3140" t="s">
        <v>1677</v>
      </c>
      <c r="C22" s="3139"/>
    </row>
    <row r="23" spans="1:3" ht="13.5">
      <c r="A23" s="3142"/>
      <c r="B23" s="3140" t="s">
        <v>1678</v>
      </c>
      <c r="C23" s="3139"/>
    </row>
    <row r="24" spans="1:3" ht="13.5">
      <c r="A24" s="3142"/>
      <c r="B24" s="3140" t="s">
        <v>1679</v>
      </c>
      <c r="C24" s="3139"/>
    </row>
    <row r="25" spans="1:3" ht="13.5">
      <c r="A25" s="3142"/>
      <c r="B25" s="3141" t="s">
        <v>1680</v>
      </c>
      <c r="C25" s="2000" t="s">
        <v>1681</v>
      </c>
    </row>
    <row r="26" spans="1:3" ht="13.5">
      <c r="A26" s="3142"/>
      <c r="B26" s="3141"/>
      <c r="C26" s="2000" t="s">
        <v>1682</v>
      </c>
    </row>
    <row r="27" spans="1:3" ht="13.5">
      <c r="A27" s="3142"/>
      <c r="B27" s="3141"/>
      <c r="C27" s="2000" t="s">
        <v>1683</v>
      </c>
    </row>
    <row r="28" spans="1:3" ht="13.5">
      <c r="A28" s="3142"/>
      <c r="B28" s="3141"/>
      <c r="C28" s="2000" t="s">
        <v>1684</v>
      </c>
    </row>
    <row r="29" spans="1:3" ht="13.5">
      <c r="A29" s="3142"/>
      <c r="B29" s="3141"/>
      <c r="C29" s="2000" t="s">
        <v>1685</v>
      </c>
    </row>
    <row r="30" spans="1:3" ht="13.5">
      <c r="A30" s="3142"/>
      <c r="B30" s="3141"/>
      <c r="C30" s="2000" t="s">
        <v>1686</v>
      </c>
    </row>
    <row r="31" spans="1:3" ht="13.5">
      <c r="A31" s="3142"/>
      <c r="B31" s="3141"/>
      <c r="C31" s="2000" t="s">
        <v>1687</v>
      </c>
    </row>
    <row r="32" spans="1:3" ht="13.5">
      <c r="A32" s="3142"/>
      <c r="B32" s="3141"/>
      <c r="C32" s="2000" t="s">
        <v>1688</v>
      </c>
    </row>
    <row r="33" spans="1:3" ht="13.5">
      <c r="A33" s="3142"/>
      <c r="B33" s="3141"/>
      <c r="C33" s="2000" t="s">
        <v>1689</v>
      </c>
    </row>
    <row r="34" spans="1:3">
      <c r="A34" s="2004" t="s">
        <v>76</v>
      </c>
    </row>
    <row r="37" spans="1:3">
      <c r="A37" s="2004" t="s">
        <v>1690</v>
      </c>
    </row>
    <row r="38" spans="1:3" ht="13.5">
      <c r="A38" s="2005" t="s">
        <v>77</v>
      </c>
    </row>
    <row r="39" spans="1:3" ht="13.5">
      <c r="A39" s="2005" t="s">
        <v>78</v>
      </c>
    </row>
    <row r="40" spans="1:3" ht="13.5">
      <c r="A40" s="2005" t="s">
        <v>79</v>
      </c>
    </row>
    <row r="41" spans="1:3" ht="13.5">
      <c r="A41" s="2006" t="s">
        <v>80</v>
      </c>
    </row>
    <row r="42" spans="1:3" ht="13.5">
      <c r="A42" s="20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5"/>
    <col min="3" max="3" width="23.625" style="1015" bestFit="1" customWidth="1"/>
    <col min="4" max="5" width="22.625" style="1015"/>
    <col min="6" max="6" width="25.625" style="1015" customWidth="1"/>
    <col min="7" max="16384" width="22.625" style="1015"/>
  </cols>
  <sheetData>
    <row r="2" spans="1:6" ht="24" customHeight="1">
      <c r="A2" s="1017" t="s">
        <v>825</v>
      </c>
      <c r="B2" s="1018">
        <f ca="1">TODAY()</f>
        <v>43123</v>
      </c>
      <c r="C2" s="1019" t="s">
        <v>826</v>
      </c>
      <c r="D2" s="1019"/>
    </row>
    <row r="3" spans="1:6" ht="24" customHeight="1">
      <c r="A3" s="1020" t="s">
        <v>827</v>
      </c>
      <c r="B3" s="1021" t="s">
        <v>828</v>
      </c>
      <c r="C3" s="2344" t="s">
        <v>829</v>
      </c>
      <c r="D3" s="2347" t="s">
        <v>830</v>
      </c>
      <c r="E3" s="1022" t="s">
        <v>831</v>
      </c>
      <c r="F3" s="1021" t="s">
        <v>829</v>
      </c>
    </row>
    <row r="4" spans="1:6" ht="24" customHeight="1">
      <c r="A4" s="1702" t="s">
        <v>832</v>
      </c>
      <c r="B4" s="1022">
        <f ca="1">IF(C4&lt;B2,"已过期",1119970066)</f>
        <v>1119970066</v>
      </c>
      <c r="C4" s="2345">
        <v>43849</v>
      </c>
      <c r="D4" s="2348" t="s">
        <v>832</v>
      </c>
      <c r="E4" s="1022">
        <f ca="1">IF(F4&lt;B2,"已过期",96010014)</f>
        <v>96010014</v>
      </c>
      <c r="F4" s="1030">
        <v>47118</v>
      </c>
    </row>
    <row r="5" spans="1:6" ht="24" customHeight="1">
      <c r="A5" s="1702" t="s">
        <v>833</v>
      </c>
      <c r="B5" s="1022">
        <f ca="1">IF(C5&lt;B2,"已过期",1119970074)</f>
        <v>1119970074</v>
      </c>
      <c r="C5" s="2345">
        <v>43849</v>
      </c>
      <c r="D5" s="2348" t="s">
        <v>833</v>
      </c>
      <c r="E5" s="1022">
        <f ca="1">IF(F5&lt;B2,"已过期",2002110027)</f>
        <v>2002110027</v>
      </c>
      <c r="F5" s="1030">
        <v>46752</v>
      </c>
    </row>
    <row r="6" spans="1:6" ht="24" customHeight="1">
      <c r="A6" s="1702" t="s">
        <v>834</v>
      </c>
      <c r="B6" s="1022">
        <f ca="1">IF(C6&lt;B2,"已过期",1119970111)</f>
        <v>1119970111</v>
      </c>
      <c r="C6" s="2345">
        <v>43849</v>
      </c>
      <c r="D6" s="2348" t="s">
        <v>834</v>
      </c>
      <c r="E6" s="1022">
        <f ca="1">IF(F6&lt;B2,"已过期",94010078)</f>
        <v>94010078</v>
      </c>
      <c r="F6" s="1030">
        <v>46387</v>
      </c>
    </row>
    <row r="7" spans="1:6" ht="24" customHeight="1">
      <c r="A7" s="1702" t="s">
        <v>835</v>
      </c>
      <c r="B7" s="1022">
        <f ca="1">IF(C7&lt;B2,"已过期",1120050019)</f>
        <v>1120050019</v>
      </c>
      <c r="C7" s="2345">
        <v>43359</v>
      </c>
      <c r="D7" s="2348" t="s">
        <v>835</v>
      </c>
      <c r="E7" s="1022">
        <f ca="1">IF(F7&lt;B2,"已过期",2002110030)</f>
        <v>2002110030</v>
      </c>
      <c r="F7" s="1030">
        <v>46387</v>
      </c>
    </row>
    <row r="8" spans="1:6" ht="24" customHeight="1">
      <c r="A8" s="1702" t="s">
        <v>836</v>
      </c>
      <c r="B8" s="1022">
        <f ca="1">IF(C8&lt;B2,"已过期",1120000080)</f>
        <v>1120000080</v>
      </c>
      <c r="C8" s="2345">
        <v>43849</v>
      </c>
      <c r="D8" s="2348" t="s">
        <v>836</v>
      </c>
      <c r="E8" s="1022">
        <f ca="1">IF(F8&lt;B2,"已过期",2000110082)</f>
        <v>2000110082</v>
      </c>
      <c r="F8" s="1030">
        <v>46387</v>
      </c>
    </row>
    <row r="9" spans="1:6" ht="24" customHeight="1">
      <c r="A9" s="1702" t="s">
        <v>837</v>
      </c>
      <c r="B9" s="1022">
        <f ca="1">IF(C9&lt;B2,"已过期",1419970001)</f>
        <v>1419970001</v>
      </c>
      <c r="C9" s="2345">
        <v>43867</v>
      </c>
      <c r="D9" s="2348" t="s">
        <v>837</v>
      </c>
      <c r="E9" s="1022">
        <f ca="1">IF(F9&lt;B2,"已过期",2002110125)</f>
        <v>2002110125</v>
      </c>
      <c r="F9" s="1030">
        <v>47118</v>
      </c>
    </row>
    <row r="10" spans="1:6" ht="24" customHeight="1">
      <c r="A10" s="1702" t="s">
        <v>838</v>
      </c>
      <c r="B10" s="1022">
        <f ca="1">IF(C10&lt;B2,"已过期",1120060040)</f>
        <v>1120060040</v>
      </c>
      <c r="C10" s="2345">
        <v>43483</v>
      </c>
      <c r="D10" s="2348" t="s">
        <v>838</v>
      </c>
      <c r="E10" s="1022">
        <f ca="1">IF(F10&lt;B2,"已过期",2004110096)</f>
        <v>2004110096</v>
      </c>
      <c r="F10" s="1030">
        <v>47118</v>
      </c>
    </row>
    <row r="11" spans="1:6" ht="24" customHeight="1">
      <c r="A11" s="1702" t="s">
        <v>839</v>
      </c>
      <c r="B11" s="1022">
        <f ca="1">IF(C11&lt;B2,"已过期",1120100036)</f>
        <v>1120100036</v>
      </c>
      <c r="C11" s="2345">
        <v>43622</v>
      </c>
      <c r="D11" s="2348" t="s">
        <v>839</v>
      </c>
      <c r="E11" s="1022">
        <f ca="1">IF(F11&lt;B2,"已过期",2010110070)</f>
        <v>2010110070</v>
      </c>
      <c r="F11" s="1030">
        <v>47907</v>
      </c>
    </row>
    <row r="12" spans="1:6" ht="24" customHeight="1">
      <c r="A12" s="1702"/>
      <c r="B12" s="1022"/>
      <c r="C12" s="2345"/>
      <c r="D12" s="2348"/>
      <c r="E12" s="1022"/>
      <c r="F12" s="1022"/>
    </row>
    <row r="13" spans="1:6" ht="24" customHeight="1">
      <c r="A13" s="1702" t="s">
        <v>840</v>
      </c>
      <c r="B13" s="1022">
        <f ca="1">IF(C13&lt;B2,"已过期",1120070131)</f>
        <v>1120070131</v>
      </c>
      <c r="C13" s="2345">
        <v>43814</v>
      </c>
      <c r="D13" s="2348" t="s">
        <v>840</v>
      </c>
      <c r="E13" s="1022">
        <v>2014110011</v>
      </c>
      <c r="F13" s="1030">
        <v>49302</v>
      </c>
    </row>
    <row r="14" spans="1:6" ht="24" customHeight="1">
      <c r="A14" s="1702" t="s">
        <v>841</v>
      </c>
      <c r="B14" s="1022">
        <f ca="1">IF(C14&lt;B2,"已过期",1120130020)</f>
        <v>1120130020</v>
      </c>
      <c r="C14" s="2345">
        <v>43622</v>
      </c>
      <c r="D14" s="2348"/>
      <c r="E14" s="1022"/>
      <c r="F14" s="1022"/>
    </row>
    <row r="15" spans="1:6" ht="24" customHeight="1">
      <c r="A15" s="1703" t="s">
        <v>1149</v>
      </c>
      <c r="B15" s="1022">
        <v>1120070085</v>
      </c>
      <c r="C15" s="2345">
        <v>43814</v>
      </c>
      <c r="D15" s="2349" t="s">
        <v>1149</v>
      </c>
      <c r="E15" s="1022">
        <v>2004110128</v>
      </c>
      <c r="F15" s="1023">
        <v>47118</v>
      </c>
    </row>
    <row r="16" spans="1:6" ht="24" customHeight="1">
      <c r="A16" s="1702" t="s">
        <v>842</v>
      </c>
      <c r="B16" s="1022">
        <f ca="1">IF(C16&lt;B2,"已过期",1120140022)</f>
        <v>1120140022</v>
      </c>
      <c r="C16" s="2345">
        <v>44029</v>
      </c>
      <c r="D16" s="2348" t="s">
        <v>842</v>
      </c>
      <c r="E16" s="1022">
        <f ca="1">IF(F16&lt;B2,"已过期",2008110059)</f>
        <v>2008110059</v>
      </c>
      <c r="F16" s="1030">
        <v>47177</v>
      </c>
    </row>
    <row r="17" spans="1:7" ht="24" customHeight="1">
      <c r="A17" s="1702"/>
      <c r="B17" s="1022"/>
      <c r="C17" s="2345"/>
      <c r="D17" s="2348"/>
      <c r="E17" s="1022"/>
      <c r="F17" s="1030"/>
    </row>
    <row r="18" spans="1:7" ht="24" customHeight="1">
      <c r="A18" s="1702"/>
      <c r="B18" s="1022"/>
      <c r="C18" s="2345"/>
      <c r="D18" s="2348"/>
      <c r="E18" s="1022"/>
      <c r="F18" s="1030"/>
    </row>
    <row r="19" spans="1:7" ht="24" customHeight="1">
      <c r="A19" s="1702"/>
      <c r="B19" s="1022"/>
      <c r="C19" s="2345"/>
      <c r="D19" s="2348"/>
      <c r="E19" s="1022"/>
      <c r="F19" s="1022"/>
    </row>
    <row r="20" spans="1:7" ht="24" customHeight="1">
      <c r="A20" s="1702"/>
      <c r="B20" s="1022"/>
      <c r="C20" s="2345"/>
      <c r="D20" s="2348"/>
      <c r="E20" s="1022"/>
      <c r="F20" s="1022"/>
    </row>
    <row r="21" spans="1:7" ht="24" customHeight="1">
      <c r="A21" s="1702"/>
      <c r="B21" s="1022"/>
      <c r="C21" s="2345"/>
      <c r="D21" s="2348" t="s">
        <v>843</v>
      </c>
      <c r="E21" s="1022">
        <f ca="1">IF(F21&lt;B2,"已过期",2011110090)</f>
        <v>2011110090</v>
      </c>
      <c r="F21" s="1030">
        <v>48302</v>
      </c>
    </row>
    <row r="22" spans="1:7" ht="24" customHeight="1">
      <c r="A22" s="1702" t="s">
        <v>844</v>
      </c>
      <c r="B22" s="1022">
        <f ca="1">IF(C22&lt;B2,"已过期",1120020033)</f>
        <v>1120020033</v>
      </c>
      <c r="C22" s="2345">
        <v>43304</v>
      </c>
      <c r="D22" s="2348" t="s">
        <v>844</v>
      </c>
      <c r="E22" s="1022">
        <f ca="1">IF(F22&lt;B2,"已过期",2000110137)</f>
        <v>2000110137</v>
      </c>
      <c r="F22" s="1030">
        <v>46387</v>
      </c>
    </row>
    <row r="23" spans="1:7" ht="24" customHeight="1">
      <c r="A23" s="1702" t="s">
        <v>845</v>
      </c>
      <c r="B23" s="1022">
        <f ca="1">IF(C23&lt;B2,"已过期",1120130048)</f>
        <v>1120130048</v>
      </c>
      <c r="C23" s="2345">
        <v>43686</v>
      </c>
      <c r="D23" s="2348"/>
      <c r="E23" s="1022"/>
      <c r="F23" s="1022"/>
    </row>
    <row r="24" spans="1:7" s="1024" customFormat="1" ht="24" customHeight="1">
      <c r="A24" s="1703" t="s">
        <v>1333</v>
      </c>
      <c r="B24" s="1703" t="s">
        <v>1333</v>
      </c>
      <c r="C24" s="2346" t="s">
        <v>1333</v>
      </c>
      <c r="D24" s="2349" t="s">
        <v>1333</v>
      </c>
      <c r="E24" s="1703" t="s">
        <v>1333</v>
      </c>
      <c r="F24" s="1703" t="s">
        <v>1333</v>
      </c>
    </row>
    <row r="25" spans="1:7" ht="24" customHeight="1">
      <c r="A25" s="3146" t="s">
        <v>846</v>
      </c>
      <c r="B25" s="3146"/>
      <c r="C25" s="3146"/>
      <c r="D25" s="3146"/>
      <c r="E25" s="3146"/>
      <c r="F25" s="3146"/>
      <c r="G25" s="3146"/>
    </row>
    <row r="26" spans="1:7" s="1025" customFormat="1" ht="24" customHeight="1">
      <c r="A26" s="3147" t="s">
        <v>847</v>
      </c>
      <c r="B26" s="3147"/>
      <c r="C26" s="3148"/>
      <c r="D26" s="3149" t="s">
        <v>848</v>
      </c>
      <c r="E26" s="3147"/>
      <c r="F26" s="3147"/>
    </row>
    <row r="27" spans="1:7" s="1027" customFormat="1" ht="24" customHeight="1">
      <c r="A27" s="1026" t="s">
        <v>849</v>
      </c>
      <c r="B27" s="1021" t="s">
        <v>850</v>
      </c>
      <c r="C27" s="2344" t="s">
        <v>851</v>
      </c>
      <c r="D27" s="2352" t="s">
        <v>849</v>
      </c>
      <c r="E27" s="1021" t="s">
        <v>850</v>
      </c>
      <c r="F27" s="1021" t="s">
        <v>851</v>
      </c>
    </row>
    <row r="28" spans="1:7" s="1027" customFormat="1" ht="24" customHeight="1">
      <c r="A28" s="1028" t="s">
        <v>852</v>
      </c>
      <c r="B28" s="1029" t="s">
        <v>853</v>
      </c>
      <c r="C28" s="2350">
        <v>43725</v>
      </c>
      <c r="D28" s="2353" t="s">
        <v>854</v>
      </c>
      <c r="E28" s="1028" t="s">
        <v>855</v>
      </c>
      <c r="F28" s="1058">
        <v>44377</v>
      </c>
    </row>
    <row r="29" spans="1:7" s="1027" customFormat="1" ht="24" customHeight="1">
      <c r="A29" s="1028"/>
      <c r="B29" s="1028"/>
      <c r="C29" s="2351"/>
      <c r="D29" s="2353" t="s">
        <v>856</v>
      </c>
      <c r="E29" s="1202" t="s">
        <v>1384</v>
      </c>
      <c r="F29" s="1203">
        <v>43281</v>
      </c>
    </row>
    <row r="30" spans="1:7" ht="24" customHeight="1">
      <c r="C30" s="1031"/>
      <c r="D30" s="1031"/>
    </row>
  </sheetData>
  <sheetProtection sheet="1" objects="1" scenarios="1"/>
  <mergeCells count="3">
    <mergeCell ref="A25:G25"/>
    <mergeCell ref="A26:C26"/>
    <mergeCell ref="D26:F26"/>
  </mergeCells>
  <phoneticPr fontId="86" type="noConversion"/>
  <conditionalFormatting sqref="C28">
    <cfRule type="expression" dxfId="206" priority="55">
      <formula>AND($C28-TODAY()&lt;30,TODAY()&lt;$C28)</formula>
    </cfRule>
  </conditionalFormatting>
  <conditionalFormatting sqref="C28 F4">
    <cfRule type="cellIs" dxfId="205" priority="57" stopIfTrue="1" operator="lessThan">
      <formula>$B$2</formula>
    </cfRule>
  </conditionalFormatting>
  <conditionalFormatting sqref="C5">
    <cfRule type="expression" dxfId="204" priority="52">
      <formula>AND($C5-TODAY()&lt;30,TODAY()&lt;$C5)</formula>
    </cfRule>
  </conditionalFormatting>
  <conditionalFormatting sqref="C5 F5">
    <cfRule type="cellIs" dxfId="203" priority="53" stopIfTrue="1" operator="lessThan">
      <formula>$B$2</formula>
    </cfRule>
  </conditionalFormatting>
  <conditionalFormatting sqref="F6 F8 F10">
    <cfRule type="cellIs" dxfId="202" priority="51" stopIfTrue="1" operator="lessThan">
      <formula>$B$2</formula>
    </cfRule>
  </conditionalFormatting>
  <conditionalFormatting sqref="C4:C23">
    <cfRule type="expression" dxfId="201" priority="49">
      <formula>AND($C4-TODAY()&lt;30,TODAY()&lt;$C4)</formula>
    </cfRule>
  </conditionalFormatting>
  <conditionalFormatting sqref="F7 F9 F11 C4:C23">
    <cfRule type="cellIs" dxfId="200" priority="50" stopIfTrue="1" operator="lessThan">
      <formula>$B$2</formula>
    </cfRule>
  </conditionalFormatting>
  <conditionalFormatting sqref="C12">
    <cfRule type="expression" dxfId="199" priority="47">
      <formula>AND($C12-TODAY()&lt;30,TODAY()&lt;$C12)</formula>
    </cfRule>
  </conditionalFormatting>
  <conditionalFormatting sqref="C12">
    <cfRule type="cellIs" dxfId="198" priority="48" stopIfTrue="1" operator="lessThan">
      <formula>$B$2</formula>
    </cfRule>
  </conditionalFormatting>
  <conditionalFormatting sqref="C14">
    <cfRule type="expression" dxfId="197" priority="43">
      <formula>AND($C14-TODAY()&lt;30,TODAY()&lt;$C14)</formula>
    </cfRule>
  </conditionalFormatting>
  <conditionalFormatting sqref="C14">
    <cfRule type="cellIs" dxfId="196" priority="44" stopIfTrue="1" operator="lessThan">
      <formula>$B$2</formula>
    </cfRule>
  </conditionalFormatting>
  <conditionalFormatting sqref="C16">
    <cfRule type="expression" dxfId="195" priority="41">
      <formula>AND($C16-TODAY()&lt;30,TODAY()&lt;$C16)</formula>
    </cfRule>
  </conditionalFormatting>
  <conditionalFormatting sqref="C16">
    <cfRule type="cellIs" dxfId="194" priority="42" stopIfTrue="1" operator="lessThan">
      <formula>$B$2</formula>
    </cfRule>
  </conditionalFormatting>
  <conditionalFormatting sqref="C18">
    <cfRule type="expression" dxfId="193" priority="39">
      <formula>AND($C18-TODAY()&lt;30,TODAY()&lt;$C18)</formula>
    </cfRule>
  </conditionalFormatting>
  <conditionalFormatting sqref="C18">
    <cfRule type="cellIs" dxfId="192" priority="40" stopIfTrue="1" operator="lessThan">
      <formula>$B$2</formula>
    </cfRule>
  </conditionalFormatting>
  <conditionalFormatting sqref="C20">
    <cfRule type="expression" dxfId="191" priority="37">
      <formula>AND($C20-TODAY()&lt;30,TODAY()&lt;$C20)</formula>
    </cfRule>
  </conditionalFormatting>
  <conditionalFormatting sqref="C20">
    <cfRule type="cellIs" dxfId="190" priority="38" stopIfTrue="1" operator="lessThan">
      <formula>$B$2</formula>
    </cfRule>
  </conditionalFormatting>
  <conditionalFormatting sqref="C22">
    <cfRule type="expression" dxfId="189" priority="35">
      <formula>AND($C22-TODAY()&lt;30,TODAY()&lt;$C22)</formula>
    </cfRule>
  </conditionalFormatting>
  <conditionalFormatting sqref="C22">
    <cfRule type="cellIs" dxfId="188" priority="36" stopIfTrue="1" operator="lessThan">
      <formula>$B$2</formula>
    </cfRule>
  </conditionalFormatting>
  <conditionalFormatting sqref="C15">
    <cfRule type="expression" dxfId="187" priority="33">
      <formula>AND($C15-TODAY()&lt;30,TODAY()&lt;$C15)</formula>
    </cfRule>
  </conditionalFormatting>
  <conditionalFormatting sqref="C15">
    <cfRule type="cellIs" dxfId="186" priority="34" stopIfTrue="1" operator="lessThan">
      <formula>$B$2</formula>
    </cfRule>
  </conditionalFormatting>
  <conditionalFormatting sqref="C17">
    <cfRule type="expression" dxfId="185" priority="31">
      <formula>AND($C17-TODAY()&lt;30,TODAY()&lt;$C17)</formula>
    </cfRule>
  </conditionalFormatting>
  <conditionalFormatting sqref="C17">
    <cfRule type="cellIs" dxfId="184" priority="32" stopIfTrue="1" operator="lessThan">
      <formula>$B$2</formula>
    </cfRule>
  </conditionalFormatting>
  <conditionalFormatting sqref="C19">
    <cfRule type="expression" dxfId="183" priority="29">
      <formula>AND($C19-TODAY()&lt;30,TODAY()&lt;$C19)</formula>
    </cfRule>
  </conditionalFormatting>
  <conditionalFormatting sqref="C19">
    <cfRule type="cellIs" dxfId="182" priority="30" stopIfTrue="1" operator="lessThan">
      <formula>$B$2</formula>
    </cfRule>
  </conditionalFormatting>
  <conditionalFormatting sqref="C21">
    <cfRule type="expression" dxfId="181" priority="27">
      <formula>AND($C21-TODAY()&lt;30,TODAY()&lt;$C21)</formula>
    </cfRule>
  </conditionalFormatting>
  <conditionalFormatting sqref="C21">
    <cfRule type="cellIs" dxfId="180" priority="28" stopIfTrue="1" operator="lessThan">
      <formula>$B$2</formula>
    </cfRule>
  </conditionalFormatting>
  <conditionalFormatting sqref="C23">
    <cfRule type="expression" dxfId="179" priority="25">
      <formula>AND($C23-TODAY()&lt;30,TODAY()&lt;$C23)</formula>
    </cfRule>
  </conditionalFormatting>
  <conditionalFormatting sqref="C23">
    <cfRule type="cellIs" dxfId="178" priority="26" stopIfTrue="1" operator="lessThan">
      <formula>$B$2</formula>
    </cfRule>
  </conditionalFormatting>
  <conditionalFormatting sqref="F16">
    <cfRule type="cellIs" dxfId="177" priority="23" stopIfTrue="1" operator="lessThan">
      <formula>$B$2</formula>
    </cfRule>
  </conditionalFormatting>
  <conditionalFormatting sqref="F18">
    <cfRule type="cellIs" dxfId="176" priority="22" stopIfTrue="1" operator="lessThan">
      <formula>$B$2</formula>
    </cfRule>
  </conditionalFormatting>
  <conditionalFormatting sqref="F22">
    <cfRule type="cellIs" dxfId="175" priority="21" stopIfTrue="1" operator="lessThan">
      <formula>$B$2</formula>
    </cfRule>
  </conditionalFormatting>
  <conditionalFormatting sqref="F21">
    <cfRule type="cellIs" dxfId="174" priority="20" stopIfTrue="1" operator="lessThan">
      <formula>$B$2</formula>
    </cfRule>
  </conditionalFormatting>
  <conditionalFormatting sqref="F17">
    <cfRule type="cellIs" dxfId="173" priority="19" stopIfTrue="1" operator="lessThan">
      <formula>$B$2</formula>
    </cfRule>
  </conditionalFormatting>
  <conditionalFormatting sqref="B4:B14 E4:E14 B16:B23 E16:E23">
    <cfRule type="cellIs" dxfId="172" priority="18" stopIfTrue="1" operator="equal">
      <formula>"已过期"</formula>
    </cfRule>
  </conditionalFormatting>
  <conditionalFormatting sqref="A24:F24">
    <cfRule type="cellIs" dxfId="171" priority="14" stopIfTrue="1" operator="equal">
      <formula>"已过期"</formula>
    </cfRule>
  </conditionalFormatting>
  <conditionalFormatting sqref="F28">
    <cfRule type="expression" dxfId="170" priority="12">
      <formula>AND($E28-TODAY()&lt;30,TODAY()&lt;$E28)</formula>
    </cfRule>
  </conditionalFormatting>
  <conditionalFormatting sqref="F28">
    <cfRule type="cellIs" dxfId="169" priority="13" stopIfTrue="1" operator="lessThan">
      <formula>$B$2</formula>
    </cfRule>
  </conditionalFormatting>
  <conditionalFormatting sqref="F29">
    <cfRule type="expression" dxfId="168" priority="8" stopIfTrue="1">
      <formula>AND($E29-TODAY()&lt;30,TODAY()&lt;$E29)</formula>
    </cfRule>
  </conditionalFormatting>
  <conditionalFormatting sqref="F29">
    <cfRule type="cellIs" dxfId="167" priority="9" stopIfTrue="1" operator="lessThan">
      <formula>$B$2</formula>
    </cfRule>
  </conditionalFormatting>
  <conditionalFormatting sqref="B15">
    <cfRule type="cellIs" dxfId="166" priority="6" stopIfTrue="1" operator="equal">
      <formula>"已过期"</formula>
    </cfRule>
  </conditionalFormatting>
  <conditionalFormatting sqref="A15">
    <cfRule type="cellIs" dxfId="165" priority="5" stopIfTrue="1" operator="equal">
      <formula>"已过期"</formula>
    </cfRule>
  </conditionalFormatting>
  <conditionalFormatting sqref="C15">
    <cfRule type="expression" dxfId="164" priority="4">
      <formula>AND($C15-TODAY()&lt;30,TODAY()&lt;$C15)</formula>
    </cfRule>
  </conditionalFormatting>
  <conditionalFormatting sqref="E15">
    <cfRule type="cellIs" dxfId="163" priority="3" stopIfTrue="1" operator="equal">
      <formula>"已过期"</formula>
    </cfRule>
  </conditionalFormatting>
  <conditionalFormatting sqref="D15">
    <cfRule type="cellIs" dxfId="162" priority="2" stopIfTrue="1" operator="equal">
      <formula>"已过期"</formula>
    </cfRule>
  </conditionalFormatting>
  <conditionalFormatting sqref="F13">
    <cfRule type="cellIs" dxfId="16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2" sqref="X22"/>
    </sheetView>
  </sheetViews>
  <sheetFormatPr defaultRowHeight="13.5"/>
  <cols>
    <col min="1" max="1" width="13.5" style="2024" customWidth="1"/>
    <col min="2" max="2" width="23.25" style="1975" customWidth="1"/>
    <col min="3" max="3" width="13" style="2019" hidden="1" customWidth="1"/>
    <col min="4" max="4" width="5.75" style="2016" hidden="1" customWidth="1"/>
    <col min="5" max="5" width="7.125" style="2016" hidden="1" customWidth="1"/>
    <col min="6" max="6" width="10.625" style="2016" hidden="1" customWidth="1"/>
    <col min="7" max="7" width="7.5" style="2016" hidden="1" customWidth="1"/>
    <col min="8" max="8" width="9" style="2019" hidden="1" customWidth="1"/>
    <col min="9" max="9" width="11.625" style="2019" hidden="1" customWidth="1"/>
    <col min="10" max="10" width="9" style="2019" hidden="1" customWidth="1"/>
    <col min="11" max="19" width="9" style="2016" hidden="1" customWidth="1"/>
    <col min="20" max="22" width="9" style="2019" hidden="1" customWidth="1"/>
    <col min="23" max="23" width="9" style="2019" customWidth="1"/>
    <col min="24" max="24" width="21.125" style="1975" customWidth="1"/>
    <col min="25" max="16384" width="9" style="1975"/>
  </cols>
  <sheetData>
    <row r="1" spans="1:23" s="2013" customFormat="1" ht="27">
      <c r="A1" s="2007" t="s">
        <v>71</v>
      </c>
      <c r="B1" s="2008" t="s">
        <v>1691</v>
      </c>
      <c r="C1" s="2009" t="s">
        <v>759</v>
      </c>
      <c r="D1" s="2010" t="s">
        <v>1692</v>
      </c>
      <c r="E1" s="2010" t="s">
        <v>1693</v>
      </c>
      <c r="F1" s="2010" t="s">
        <v>1694</v>
      </c>
      <c r="G1" s="2010" t="s">
        <v>1695</v>
      </c>
      <c r="H1" s="2010" t="s">
        <v>1696</v>
      </c>
      <c r="I1" s="2010" t="s">
        <v>1697</v>
      </c>
      <c r="J1" s="2010" t="s">
        <v>1698</v>
      </c>
      <c r="K1" s="2010" t="s">
        <v>1699</v>
      </c>
      <c r="L1" s="2010" t="s">
        <v>1700</v>
      </c>
      <c r="M1" s="2010" t="s">
        <v>1701</v>
      </c>
      <c r="N1" s="2010" t="s">
        <v>1702</v>
      </c>
      <c r="O1" s="2010" t="s">
        <v>1703</v>
      </c>
      <c r="P1" s="2011" t="s">
        <v>753</v>
      </c>
      <c r="Q1" s="2011" t="s">
        <v>1144</v>
      </c>
      <c r="R1" s="2010" t="s">
        <v>1138</v>
      </c>
      <c r="S1" s="2010" t="s">
        <v>1704</v>
      </c>
      <c r="T1" s="2012" t="s">
        <v>1705</v>
      </c>
      <c r="U1" s="2010" t="s">
        <v>1706</v>
      </c>
      <c r="V1" s="2010" t="s">
        <v>1707</v>
      </c>
      <c r="W1" s="2010" t="s">
        <v>755</v>
      </c>
    </row>
    <row r="2" spans="1:23">
      <c r="A2" s="2014" t="s">
        <v>22</v>
      </c>
      <c r="B2" s="2014" t="s">
        <v>1708</v>
      </c>
      <c r="C2" s="2015" t="s">
        <v>760</v>
      </c>
      <c r="D2" s="2016" t="s">
        <v>1709</v>
      </c>
      <c r="E2" s="2016" t="s">
        <v>1710</v>
      </c>
      <c r="F2" s="2016" t="s">
        <v>1711</v>
      </c>
      <c r="G2" s="2016">
        <v>40</v>
      </c>
      <c r="H2" s="2016" t="s">
        <v>1711</v>
      </c>
      <c r="I2" s="2016" t="s">
        <v>1712</v>
      </c>
      <c r="J2" s="2016" t="s">
        <v>1713</v>
      </c>
      <c r="K2" s="2016" t="s">
        <v>1714</v>
      </c>
      <c r="L2" s="2016" t="s">
        <v>1714</v>
      </c>
      <c r="M2" s="2016" t="s">
        <v>1714</v>
      </c>
      <c r="N2" s="2016" t="s">
        <v>1714</v>
      </c>
      <c r="O2" s="2016" t="s">
        <v>1714</v>
      </c>
      <c r="P2" s="2016" t="s">
        <v>1714</v>
      </c>
      <c r="Q2" s="2016" t="s">
        <v>1714</v>
      </c>
      <c r="R2" s="2016" t="s">
        <v>1140</v>
      </c>
      <c r="S2" s="2016" t="s">
        <v>1714</v>
      </c>
      <c r="T2" s="2016" t="s">
        <v>1715</v>
      </c>
      <c r="U2" s="2016" t="s">
        <v>1714</v>
      </c>
      <c r="V2" s="2016" t="s">
        <v>1716</v>
      </c>
      <c r="W2" s="2016" t="s">
        <v>1714</v>
      </c>
    </row>
    <row r="3" spans="1:23">
      <c r="A3" s="2014" t="s">
        <v>1717</v>
      </c>
      <c r="B3" s="2017" t="s">
        <v>1145</v>
      </c>
      <c r="C3" s="2018" t="s">
        <v>761</v>
      </c>
      <c r="D3" s="2016" t="s">
        <v>1718</v>
      </c>
      <c r="E3" s="2016" t="s">
        <v>16</v>
      </c>
      <c r="F3" s="2016" t="s">
        <v>1719</v>
      </c>
      <c r="G3" s="2016">
        <v>50</v>
      </c>
      <c r="H3" s="2016" t="s">
        <v>1719</v>
      </c>
      <c r="I3" s="2016" t="s">
        <v>1720</v>
      </c>
      <c r="J3" s="2016" t="s">
        <v>1721</v>
      </c>
      <c r="K3" s="2016" t="s">
        <v>1722</v>
      </c>
      <c r="L3" s="2016" t="s">
        <v>1722</v>
      </c>
      <c r="M3" s="2016" t="s">
        <v>1722</v>
      </c>
      <c r="N3" s="2016" t="s">
        <v>1722</v>
      </c>
      <c r="O3" s="2016" t="s">
        <v>1722</v>
      </c>
      <c r="P3" s="2016" t="s">
        <v>1722</v>
      </c>
      <c r="Q3" s="2016" t="s">
        <v>1722</v>
      </c>
      <c r="R3" s="2016" t="s">
        <v>1139</v>
      </c>
      <c r="S3" s="2016" t="s">
        <v>1722</v>
      </c>
      <c r="T3" s="2016" t="s">
        <v>1723</v>
      </c>
      <c r="U3" s="2016" t="s">
        <v>1722</v>
      </c>
      <c r="V3" s="2016" t="s">
        <v>1724</v>
      </c>
      <c r="W3" s="2016" t="s">
        <v>1722</v>
      </c>
    </row>
    <row r="4" spans="1:23">
      <c r="A4" s="2014" t="s">
        <v>1725</v>
      </c>
      <c r="B4" s="2014" t="s">
        <v>1726</v>
      </c>
      <c r="C4" s="2015" t="s">
        <v>762</v>
      </c>
      <c r="D4" s="2016" t="s">
        <v>868</v>
      </c>
      <c r="E4" s="2016" t="s">
        <v>1727</v>
      </c>
      <c r="F4" s="2016" t="s">
        <v>1728</v>
      </c>
      <c r="G4" s="2016">
        <v>70</v>
      </c>
      <c r="H4" s="2016" t="s">
        <v>1728</v>
      </c>
      <c r="I4" s="2016" t="s">
        <v>1729</v>
      </c>
      <c r="K4" s="2016" t="s">
        <v>1730</v>
      </c>
      <c r="L4" s="2016" t="s">
        <v>1730</v>
      </c>
      <c r="M4" s="2016" t="s">
        <v>1730</v>
      </c>
      <c r="N4" s="2016" t="s">
        <v>1730</v>
      </c>
      <c r="O4" s="2016" t="s">
        <v>1730</v>
      </c>
      <c r="P4" s="2016" t="s">
        <v>1730</v>
      </c>
      <c r="Q4" s="2016" t="s">
        <v>1730</v>
      </c>
      <c r="R4" s="2016" t="s">
        <v>1141</v>
      </c>
      <c r="S4" s="2016" t="s">
        <v>1730</v>
      </c>
      <c r="T4" s="2016" t="s">
        <v>1731</v>
      </c>
      <c r="U4" s="2016" t="s">
        <v>1730</v>
      </c>
      <c r="W4" s="2016" t="s">
        <v>1730</v>
      </c>
    </row>
    <row r="5" spans="1:23">
      <c r="A5" s="2014" t="s">
        <v>1732</v>
      </c>
      <c r="B5" s="2014" t="s">
        <v>1733</v>
      </c>
      <c r="C5" s="2015" t="s">
        <v>763</v>
      </c>
      <c r="F5" s="2016" t="s">
        <v>1734</v>
      </c>
      <c r="H5" s="2016" t="s">
        <v>1735</v>
      </c>
      <c r="I5" s="2016" t="s">
        <v>1736</v>
      </c>
      <c r="K5" s="2016" t="s">
        <v>1737</v>
      </c>
      <c r="L5" s="2016" t="s">
        <v>1737</v>
      </c>
      <c r="M5" s="2016" t="s">
        <v>1737</v>
      </c>
      <c r="N5" s="2016" t="s">
        <v>1737</v>
      </c>
      <c r="O5" s="2016" t="s">
        <v>1737</v>
      </c>
      <c r="P5" s="2016" t="s">
        <v>1737</v>
      </c>
      <c r="Q5" s="2016" t="s">
        <v>1737</v>
      </c>
      <c r="R5" s="2016" t="s">
        <v>1142</v>
      </c>
      <c r="S5" s="2016" t="s">
        <v>1737</v>
      </c>
      <c r="T5" s="2016" t="s">
        <v>1738</v>
      </c>
      <c r="U5" s="2016" t="s">
        <v>1737</v>
      </c>
      <c r="W5" s="2016" t="s">
        <v>1737</v>
      </c>
    </row>
    <row r="6" spans="1:23">
      <c r="A6" s="2014" t="s">
        <v>1739</v>
      </c>
      <c r="B6" s="2017" t="s">
        <v>1146</v>
      </c>
      <c r="C6" s="2020" t="s">
        <v>30</v>
      </c>
      <c r="F6" s="2016" t="s">
        <v>1735</v>
      </c>
      <c r="H6" s="2016" t="s">
        <v>1740</v>
      </c>
      <c r="I6" s="2016" t="s">
        <v>1741</v>
      </c>
      <c r="K6" s="2016" t="s">
        <v>1742</v>
      </c>
      <c r="L6" s="2016" t="s">
        <v>1742</v>
      </c>
      <c r="M6" s="2016" t="s">
        <v>1742</v>
      </c>
      <c r="N6" s="2016" t="s">
        <v>1742</v>
      </c>
      <c r="O6" s="2016" t="s">
        <v>1742</v>
      </c>
      <c r="P6" s="2016" t="s">
        <v>1742</v>
      </c>
      <c r="Q6" s="2016" t="s">
        <v>1742</v>
      </c>
      <c r="R6" s="2016" t="s">
        <v>1143</v>
      </c>
      <c r="S6" s="2016" t="s">
        <v>1742</v>
      </c>
      <c r="T6" s="2016"/>
      <c r="U6" s="2016" t="s">
        <v>1742</v>
      </c>
      <c r="W6" s="2016" t="s">
        <v>1742</v>
      </c>
    </row>
    <row r="7" spans="1:23">
      <c r="A7" s="2014" t="s">
        <v>1743</v>
      </c>
      <c r="B7" s="2017" t="s">
        <v>1147</v>
      </c>
      <c r="C7" s="2015" t="s">
        <v>31</v>
      </c>
      <c r="F7" s="2016" t="s">
        <v>1744</v>
      </c>
      <c r="H7" s="2016" t="s">
        <v>1745</v>
      </c>
      <c r="I7" s="2016" t="s">
        <v>1746</v>
      </c>
    </row>
    <row r="8" spans="1:23">
      <c r="A8" s="2014" t="s">
        <v>1747</v>
      </c>
      <c r="B8" s="2014" t="s">
        <v>1748</v>
      </c>
      <c r="C8" s="2015" t="s">
        <v>764</v>
      </c>
      <c r="F8" s="2016" t="s">
        <v>1749</v>
      </c>
      <c r="H8" s="2016"/>
      <c r="I8" s="2016" t="s">
        <v>1750</v>
      </c>
    </row>
    <row r="9" spans="1:23">
      <c r="A9" s="2014" t="s">
        <v>1751</v>
      </c>
      <c r="B9" s="2014" t="s">
        <v>1752</v>
      </c>
      <c r="C9" s="2015" t="s">
        <v>765</v>
      </c>
      <c r="F9" s="2016" t="s">
        <v>1753</v>
      </c>
      <c r="H9" s="2016"/>
    </row>
    <row r="10" spans="1:23">
      <c r="A10" s="2014" t="s">
        <v>1754</v>
      </c>
      <c r="B10" s="2014" t="s">
        <v>1755</v>
      </c>
      <c r="C10" s="2015" t="s">
        <v>766</v>
      </c>
      <c r="F10" s="2016" t="s">
        <v>16</v>
      </c>
    </row>
    <row r="11" spans="1:23">
      <c r="A11" s="2014" t="s">
        <v>1756</v>
      </c>
      <c r="B11" s="2014" t="s">
        <v>1757</v>
      </c>
      <c r="C11" s="2015" t="s">
        <v>767</v>
      </c>
    </row>
    <row r="12" spans="1:23">
      <c r="A12" s="2014" t="s">
        <v>1758</v>
      </c>
      <c r="B12" s="2014" t="s">
        <v>1759</v>
      </c>
      <c r="C12" s="2015" t="s">
        <v>768</v>
      </c>
    </row>
    <row r="13" spans="1:23">
      <c r="A13" s="2014" t="s">
        <v>1760</v>
      </c>
      <c r="B13" s="2014" t="s">
        <v>1761</v>
      </c>
      <c r="C13" s="2015" t="s">
        <v>769</v>
      </c>
    </row>
    <row r="14" spans="1:23">
      <c r="A14" s="2014" t="s">
        <v>1762</v>
      </c>
      <c r="B14" s="2014" t="s">
        <v>1763</v>
      </c>
      <c r="C14" s="2016" t="s">
        <v>16</v>
      </c>
    </row>
    <row r="15" spans="1:23">
      <c r="A15" s="2014" t="s">
        <v>1764</v>
      </c>
      <c r="B15" s="2014" t="s">
        <v>1765</v>
      </c>
      <c r="C15" s="2015"/>
    </row>
    <row r="16" spans="1:23">
      <c r="A16" s="2014" t="s">
        <v>1766</v>
      </c>
      <c r="B16" s="2014" t="s">
        <v>756</v>
      </c>
      <c r="C16" s="2015"/>
    </row>
    <row r="17" spans="1:3">
      <c r="A17" s="2014" t="s">
        <v>1767</v>
      </c>
      <c r="B17" s="2014" t="s">
        <v>3165</v>
      </c>
      <c r="C17" s="2015"/>
    </row>
    <row r="18" spans="1:3">
      <c r="A18" s="2014" t="s">
        <v>1768</v>
      </c>
      <c r="B18" s="2014" t="s">
        <v>3167</v>
      </c>
      <c r="C18" s="2015"/>
    </row>
    <row r="19" spans="1:3">
      <c r="A19" s="2014" t="s">
        <v>1769</v>
      </c>
      <c r="B19" s="2014" t="s">
        <v>3362</v>
      </c>
      <c r="C19" s="2015"/>
    </row>
    <row r="20" spans="1:3">
      <c r="A20" s="2014" t="s">
        <v>1770</v>
      </c>
      <c r="B20" s="2014" t="s">
        <v>3395</v>
      </c>
      <c r="C20" s="2015"/>
    </row>
    <row r="21" spans="1:3">
      <c r="A21" s="2014" t="s">
        <v>1771</v>
      </c>
      <c r="B21" s="2014" t="s">
        <v>757</v>
      </c>
      <c r="C21" s="2015"/>
    </row>
    <row r="22" spans="1:3">
      <c r="A22" s="2014" t="s">
        <v>1772</v>
      </c>
      <c r="B22" s="2014" t="s">
        <v>757</v>
      </c>
      <c r="C22" s="2015"/>
    </row>
    <row r="23" spans="1:3">
      <c r="A23" s="2014" t="s">
        <v>1773</v>
      </c>
      <c r="B23" s="2014" t="s">
        <v>757</v>
      </c>
      <c r="C23" s="2015"/>
    </row>
    <row r="24" spans="1:3">
      <c r="A24" s="2014" t="s">
        <v>1774</v>
      </c>
      <c r="B24" s="2014" t="s">
        <v>757</v>
      </c>
      <c r="C24" s="2015"/>
    </row>
    <row r="25" spans="1:3">
      <c r="A25" s="2014" t="s">
        <v>1775</v>
      </c>
      <c r="B25" s="2014" t="s">
        <v>757</v>
      </c>
      <c r="C25" s="2015"/>
    </row>
    <row r="26" spans="1:3">
      <c r="A26" s="2014" t="s">
        <v>1776</v>
      </c>
      <c r="B26" s="2014" t="s">
        <v>757</v>
      </c>
      <c r="C26" s="2015"/>
    </row>
    <row r="27" spans="1:3">
      <c r="A27" s="2014" t="s">
        <v>3155</v>
      </c>
      <c r="B27" s="2014" t="s">
        <v>757</v>
      </c>
      <c r="C27" s="2015"/>
    </row>
    <row r="28" spans="1:3">
      <c r="A28" s="2014" t="s">
        <v>757</v>
      </c>
      <c r="B28" s="2014" t="s">
        <v>757</v>
      </c>
      <c r="C28" s="2015"/>
    </row>
    <row r="29" spans="1:3">
      <c r="A29" s="2014" t="s">
        <v>757</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1" t="s">
        <v>857</v>
      </c>
      <c r="B51" s="2022" t="str">
        <f>"为估价委托人在向"&amp;项目基本情况!B6&amp;"办理贷款手续过程中，确定房地产抵押贷款额度提供参考依据而评估房地产抵押价值。"</f>
        <v>为估价委托人在向民生信托办理贷款手续过程中，确定房地产抵押贷款额度提供参考依据而评估房地产抵押价值。</v>
      </c>
      <c r="C51" s="2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文华盛达房地产开发有限公司拟使用北京市昌平区北七家镇GZT-05-1地块出让国有建设用地使用权及在建建筑物房地产作为抵押担保物，向民生信托办理贷款手续。民生信托特委托北京康正宏基房地产评估有限公司对上述抵押物进行评估。本次评估为确定房地产抵押贷款额度提供参考依据而评估房地产抵押价值。</v>
      </c>
      <c r="D51" s="2022" t="s">
        <v>1284</v>
      </c>
    </row>
    <row r="52" spans="1:4">
      <c r="A52" s="2021" t="s">
        <v>858</v>
      </c>
      <c r="B52" s="2021" t="s">
        <v>859</v>
      </c>
      <c r="C52" s="2019" t="s">
        <v>860</v>
      </c>
      <c r="D52" s="2019" t="s">
        <v>861</v>
      </c>
    </row>
    <row r="53" spans="1:4">
      <c r="A53" s="3150" t="s">
        <v>862</v>
      </c>
      <c r="B53" s="2022" t="s">
        <v>863</v>
      </c>
      <c r="C53" s="2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月11日，估价对象规划用途为住宅、地下仓储、地下车库土地取得方式为出让，出让国有建设用地使用权剩余土地使用年限为XX年(多用途剩余年限尾数不同时，可只体现小数点后一位)，假定未设立法定优先受偿款下的房地产市场价值。</v>
      </c>
    </row>
    <row r="54" spans="1:4">
      <c r="A54" s="3150"/>
      <c r="B54" s="2022" t="s">
        <v>864</v>
      </c>
      <c r="C54" s="2019" t="s">
        <v>1281</v>
      </c>
    </row>
    <row r="55" spans="1:4">
      <c r="A55" s="3150"/>
      <c r="B55" s="2022" t="s">
        <v>865</v>
      </c>
      <c r="C55" s="2019" t="s">
        <v>1282</v>
      </c>
    </row>
    <row r="56" spans="1:4">
      <c r="A56" s="3150"/>
      <c r="B56" s="2022" t="s">
        <v>866</v>
      </c>
      <c r="C56" s="2019" t="s">
        <v>1286</v>
      </c>
    </row>
    <row r="57" spans="1:4">
      <c r="A57" s="3150"/>
      <c r="B57" s="2022" t="s">
        <v>867</v>
      </c>
      <c r="C57" s="2019" t="s">
        <v>1283</v>
      </c>
    </row>
    <row r="58" spans="1:4">
      <c r="A58" s="2023"/>
      <c r="B58" s="2019"/>
    </row>
    <row r="59" spans="1:4">
      <c r="A59" s="2023"/>
      <c r="B59" s="2019"/>
    </row>
    <row r="60" spans="1:4">
      <c r="A60" s="2023"/>
      <c r="B60" s="2019"/>
    </row>
    <row r="61" spans="1:4">
      <c r="A61" s="2023"/>
      <c r="B61" s="2019"/>
    </row>
    <row r="62" spans="1:4">
      <c r="A62" s="2023"/>
      <c r="B62" s="2019"/>
    </row>
    <row r="63" spans="1:4">
      <c r="A63" s="2023"/>
      <c r="B63" s="2019"/>
    </row>
    <row r="64" spans="1:4">
      <c r="A64" s="2023"/>
      <c r="B64" s="2019"/>
    </row>
    <row r="65" spans="1:2">
      <c r="A65" s="2023"/>
      <c r="B65" s="2019"/>
    </row>
    <row r="66" spans="1:2">
      <c r="A66" s="2023"/>
      <c r="B66" s="2019"/>
    </row>
    <row r="67" spans="1:2">
      <c r="A67" s="2023"/>
      <c r="B67" s="2019"/>
    </row>
    <row r="68" spans="1:2">
      <c r="A68" s="2023"/>
      <c r="B68" s="2019"/>
    </row>
    <row r="69" spans="1:2">
      <c r="A69" s="2023"/>
      <c r="B69" s="2019"/>
    </row>
    <row r="70" spans="1:2">
      <c r="A70" s="2023"/>
      <c r="B70" s="2019"/>
    </row>
    <row r="71" spans="1:2">
      <c r="A71" s="2023"/>
      <c r="B71" s="2019"/>
    </row>
    <row r="72" spans="1:2">
      <c r="A72" s="2023"/>
      <c r="B72" s="2019"/>
    </row>
    <row r="73" spans="1:2">
      <c r="A73" s="2023"/>
      <c r="B73" s="2019"/>
    </row>
    <row r="74" spans="1:2">
      <c r="A74" s="2023"/>
      <c r="B74" s="2019"/>
    </row>
    <row r="75" spans="1:2">
      <c r="A75" s="2023"/>
      <c r="B75" s="2019"/>
    </row>
    <row r="76" spans="1:2">
      <c r="A76" s="2023"/>
      <c r="B76" s="2019"/>
    </row>
    <row r="77" spans="1:2">
      <c r="A77" s="2023"/>
      <c r="B77" s="2019"/>
    </row>
    <row r="78" spans="1:2">
      <c r="A78" s="2023"/>
      <c r="B78" s="2019"/>
    </row>
    <row r="79" spans="1:2">
      <c r="A79" s="2023"/>
      <c r="B79" s="2019"/>
    </row>
    <row r="80" spans="1:2">
      <c r="A80" s="2023"/>
      <c r="B80" s="2019"/>
    </row>
    <row r="81" spans="1:2">
      <c r="A81" s="2023"/>
      <c r="B81" s="2019"/>
    </row>
    <row r="82" spans="1:2">
      <c r="A82" s="2023"/>
      <c r="B82" s="2019"/>
    </row>
    <row r="83" spans="1:2">
      <c r="A83" s="2023"/>
      <c r="B83" s="2019"/>
    </row>
    <row r="84" spans="1:2">
      <c r="A84" s="2023"/>
      <c r="B84" s="2019"/>
    </row>
    <row r="85" spans="1:2">
      <c r="A85" s="2023"/>
      <c r="B85" s="2019"/>
    </row>
    <row r="86" spans="1:2">
      <c r="A86" s="2023"/>
      <c r="B86" s="2019"/>
    </row>
    <row r="87" spans="1:2">
      <c r="A87" s="2023"/>
      <c r="B87" s="2019"/>
    </row>
    <row r="88" spans="1:2">
      <c r="A88" s="2023"/>
      <c r="B88" s="2019"/>
    </row>
    <row r="89" spans="1:2">
      <c r="A89" s="2023"/>
      <c r="B89" s="2019"/>
    </row>
    <row r="90" spans="1:2">
      <c r="A90" s="2023"/>
      <c r="B90" s="2019"/>
    </row>
    <row r="91" spans="1:2">
      <c r="A91" s="2023"/>
      <c r="B91" s="2019"/>
    </row>
    <row r="92" spans="1:2">
      <c r="A92" s="2023"/>
      <c r="B92" s="2019"/>
    </row>
    <row r="93" spans="1:2">
      <c r="A93" s="2023"/>
      <c r="B93" s="2019"/>
    </row>
    <row r="94" spans="1:2">
      <c r="A94" s="2023"/>
      <c r="B94" s="2019"/>
    </row>
    <row r="95" spans="1:2">
      <c r="A95" s="2023"/>
      <c r="B95" s="2019"/>
    </row>
    <row r="96" spans="1:2">
      <c r="A96" s="2023"/>
      <c r="B96" s="2019"/>
    </row>
    <row r="97" spans="1:2">
      <c r="A97" s="2023"/>
      <c r="B97" s="2019"/>
    </row>
    <row r="98" spans="1:2">
      <c r="A98" s="2023"/>
      <c r="B98" s="2019"/>
    </row>
    <row r="99" spans="1:2">
      <c r="A99" s="2023"/>
      <c r="B99" s="2019"/>
    </row>
    <row r="100" spans="1:2">
      <c r="A100" s="2023"/>
      <c r="B100" s="2019"/>
    </row>
    <row r="101" spans="1:2">
      <c r="A101" s="2023"/>
      <c r="B101" s="2019"/>
    </row>
    <row r="102" spans="1:2">
      <c r="A102" s="2023"/>
      <c r="B102" s="2019"/>
    </row>
    <row r="103" spans="1:2">
      <c r="A103" s="2023"/>
      <c r="B103" s="2019"/>
    </row>
    <row r="104" spans="1:2">
      <c r="A104" s="2023"/>
      <c r="B104" s="2019"/>
    </row>
    <row r="105" spans="1:2">
      <c r="A105" s="2023"/>
      <c r="B105" s="2019"/>
    </row>
    <row r="106" spans="1:2">
      <c r="A106" s="2023"/>
      <c r="B106" s="2019"/>
    </row>
    <row r="107" spans="1:2">
      <c r="A107" s="2023"/>
      <c r="B107" s="2019"/>
    </row>
    <row r="108" spans="1:2">
      <c r="A108" s="2023"/>
      <c r="B108" s="2019"/>
    </row>
    <row r="109" spans="1:2">
      <c r="A109" s="2023"/>
      <c r="B109" s="2019"/>
    </row>
    <row r="110" spans="1:2">
      <c r="A110" s="2023"/>
      <c r="B110" s="2019"/>
    </row>
    <row r="111" spans="1:2">
      <c r="A111" s="2023"/>
      <c r="B111" s="2019"/>
    </row>
    <row r="112" spans="1:2">
      <c r="A112" s="2023"/>
      <c r="B112" s="2019"/>
    </row>
    <row r="113" spans="1:2">
      <c r="A113" s="2023"/>
      <c r="B113" s="2019"/>
    </row>
    <row r="114" spans="1:2">
      <c r="A114" s="2023"/>
      <c r="B114" s="2019"/>
    </row>
    <row r="115" spans="1:2">
      <c r="A115" s="2023"/>
      <c r="B115" s="2019"/>
    </row>
    <row r="116" spans="1:2">
      <c r="A116" s="2023"/>
      <c r="B116" s="2019"/>
    </row>
    <row r="117" spans="1:2">
      <c r="A117" s="2023"/>
      <c r="B117" s="2019"/>
    </row>
    <row r="118" spans="1:2">
      <c r="A118" s="2023"/>
      <c r="B118" s="2019"/>
    </row>
    <row r="119" spans="1:2">
      <c r="A119" s="2023"/>
      <c r="B119" s="2019"/>
    </row>
    <row r="120" spans="1:2">
      <c r="A120" s="2023"/>
      <c r="B120" s="2019"/>
    </row>
    <row r="121" spans="1:2">
      <c r="A121" s="2023"/>
      <c r="B121" s="2019"/>
    </row>
    <row r="122" spans="1:2">
      <c r="A122" s="2023"/>
      <c r="B122" s="2019"/>
    </row>
    <row r="123" spans="1:2">
      <c r="A123" s="2023"/>
      <c r="B123" s="2019"/>
    </row>
    <row r="124" spans="1:2">
      <c r="A124" s="2023"/>
      <c r="B124" s="2019"/>
    </row>
    <row r="125" spans="1:2">
      <c r="A125" s="2023"/>
      <c r="B125" s="2019"/>
    </row>
    <row r="126" spans="1:2">
      <c r="A126" s="2023"/>
      <c r="B126" s="2019"/>
    </row>
    <row r="127" spans="1:2">
      <c r="A127" s="2023"/>
      <c r="B127" s="201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L10" sqref="L10"/>
    </sheetView>
  </sheetViews>
  <sheetFormatPr defaultColWidth="10" defaultRowHeight="18" customHeight="1"/>
  <cols>
    <col min="1" max="1" width="14.875" style="2032" customWidth="1"/>
    <col min="2" max="2" width="10" style="2032" customWidth="1"/>
    <col min="3" max="3" width="11.5" style="2032" customWidth="1"/>
    <col min="4" max="6" width="10" style="2032" customWidth="1"/>
    <col min="7" max="7" width="10.75" style="2032" customWidth="1"/>
    <col min="8" max="8" width="10" style="2032" customWidth="1"/>
    <col min="9" max="9" width="11.125" style="2157" customWidth="1"/>
    <col min="10" max="10" width="10" style="2032" customWidth="1"/>
    <col min="11" max="11" width="10" style="2158" customWidth="1"/>
    <col min="12" max="13" width="10" style="2159" customWidth="1"/>
    <col min="14" max="14" width="10" style="2032" customWidth="1"/>
    <col min="15" max="15" width="10" style="2157" customWidth="1"/>
    <col min="16" max="17" width="10" style="2032"/>
    <col min="18" max="18" width="10" style="2032" customWidth="1"/>
    <col min="19" max="16384" width="10" style="2032"/>
  </cols>
  <sheetData>
    <row r="1" spans="1:19" ht="38.25" customHeight="1" thickBot="1">
      <c r="A1" s="2025" t="s">
        <v>1777</v>
      </c>
      <c r="B1" s="3159" t="str">
        <f>IF(B10="北京市","北京市",C10)&amp;F10&amp;IF(结果表!G1="在建","出让国有建设用地使用权及在建建筑物",IF(结果表!G1="土地","出让国有建设用地使用权",))&amp;B9&amp;"预评估"</f>
        <v>北京市昌平区北七家镇GZT-05-1地块出让国有建设用地使用权及在建建筑物房地产抵押价值预评估</v>
      </c>
      <c r="C1" s="3160"/>
      <c r="D1" s="3160"/>
      <c r="E1" s="3160"/>
      <c r="F1" s="3160"/>
      <c r="G1" s="3160"/>
      <c r="H1" s="3160"/>
      <c r="I1" s="3161"/>
      <c r="J1" s="2026"/>
      <c r="K1" s="2027"/>
      <c r="L1" s="2028"/>
      <c r="M1" s="2028"/>
      <c r="N1" s="2029"/>
      <c r="O1" s="2030"/>
      <c r="P1" s="2029"/>
      <c r="Q1" s="2029"/>
      <c r="R1" s="2029"/>
      <c r="S1" s="2031" t="str">
        <f>IF(B10="北京市","北京市",C10)&amp;F10&amp;IF(结果表!G1="在建","出让国有建设用地使用权及在建建筑物房地产抵押价值",IF(结果表!G1="土地","出让国有建设用地使用权抵押价值",B9))</f>
        <v>北京市昌平区北七家镇GZT-05-1地块出让国有建设用地使用权及在建建筑物房地产抵押价值</v>
      </c>
    </row>
    <row r="2" spans="1:19" ht="18" customHeight="1">
      <c r="A2" s="2026" t="s">
        <v>1778</v>
      </c>
      <c r="B2" s="1039"/>
      <c r="C2" s="2033"/>
      <c r="D2" s="2026"/>
      <c r="E2" s="2034"/>
      <c r="F2" s="2034"/>
      <c r="G2" s="2026"/>
      <c r="H2" s="2026"/>
      <c r="I2" s="2026"/>
      <c r="J2" s="2026"/>
      <c r="K2" s="2027"/>
      <c r="L2" s="2028"/>
      <c r="M2" s="2028"/>
      <c r="N2" s="2029"/>
      <c r="O2" s="2030"/>
      <c r="P2" s="2029"/>
      <c r="Q2" s="2029"/>
      <c r="R2" s="2029"/>
      <c r="S2" s="2031" t="str">
        <f>IF(B10="北京市","北京市",C10)&amp;F10&amp;IF(结果表!G1="在建","出让国有建设用地使用权及在建建筑物房地产",IF(结果表!G1="土地","出让国有建设用地使用权","房地产"))</f>
        <v>北京市昌平区北七家镇GZT-05-1地块出让国有建设用地使用权及在建建筑物房地产</v>
      </c>
    </row>
    <row r="3" spans="1:19" ht="18" customHeight="1">
      <c r="A3" s="2035" t="s">
        <v>1779</v>
      </c>
      <c r="B3" s="2036">
        <v>43111</v>
      </c>
      <c r="C3" s="2037" t="s">
        <v>1780</v>
      </c>
      <c r="D3" s="2036">
        <v>43111</v>
      </c>
      <c r="E3" s="2026"/>
      <c r="F3" s="2026"/>
      <c r="G3" s="2026"/>
      <c r="H3" s="2026"/>
      <c r="I3" s="2026"/>
      <c r="J3" s="2026"/>
      <c r="K3" s="2027"/>
      <c r="L3" s="2028"/>
      <c r="M3" s="2028"/>
      <c r="N3" s="2029"/>
      <c r="O3" s="2030"/>
      <c r="P3" s="2029"/>
      <c r="Q3" s="2029"/>
      <c r="R3" s="2029"/>
      <c r="S3" s="2031"/>
    </row>
    <row r="4" spans="1:19" ht="18" customHeight="1" thickBot="1">
      <c r="A4" s="2038" t="s">
        <v>1781</v>
      </c>
      <c r="B4" s="2039" t="s">
        <v>3038</v>
      </c>
      <c r="C4" s="1037">
        <f ca="1">SUMIF(注册房地产估价师,B4,估价师及机构信息!B3:B24)</f>
        <v>1120140022</v>
      </c>
      <c r="D4" s="2039" t="s">
        <v>3039</v>
      </c>
      <c r="E4" s="1038">
        <f ca="1">SUMIF(注册房地产估价师,D4,估价师及机构信息!B3:B24)</f>
        <v>1419970001</v>
      </c>
      <c r="F4" s="2039" t="s">
        <v>70</v>
      </c>
      <c r="G4" s="2040">
        <f>SUMIF(注册房地产估价师,F4,估价师及机构信息!B3:B24)</f>
        <v>0</v>
      </c>
      <c r="H4" s="2039" t="s">
        <v>70</v>
      </c>
      <c r="I4" s="2041">
        <f>SUMIF(注册房地产估价师,H4,估价师及机构信息!B3:B24)</f>
        <v>0</v>
      </c>
      <c r="J4" s="2042"/>
      <c r="K4" s="2043" t="str">
        <f ca="1">CONCATENATE(B4,"（注册号：",C4,")、",D4,"（注册号：",E4,")")</f>
        <v>刘梅（注册号：1120140022)、吴薇（注册号：1419970001)</v>
      </c>
      <c r="L4" s="2028"/>
      <c r="M4" s="2028"/>
      <c r="N4" s="2029"/>
      <c r="O4" s="2030"/>
      <c r="P4" s="2029"/>
      <c r="Q4" s="2029"/>
      <c r="R4" s="2029"/>
      <c r="S4" s="2031"/>
    </row>
    <row r="5" spans="1:19" ht="18" customHeight="1" thickTop="1">
      <c r="A5" s="2044" t="s">
        <v>1782</v>
      </c>
      <c r="B5" s="2947" t="s">
        <v>3396</v>
      </c>
      <c r="C5" s="2045"/>
      <c r="D5" s="2046"/>
      <c r="E5" s="2042"/>
      <c r="F5" s="2042"/>
      <c r="G5" s="2042"/>
      <c r="H5" s="2042"/>
      <c r="I5" s="2042"/>
      <c r="J5" s="2042"/>
      <c r="K5" s="2043" t="str">
        <f>IF(F4="——","",IF(H4="——",F4&amp;"（注册号："&amp;G4&amp;")",CONCATENATE(F4,"（注册号：",G4,")、",H4,"（注册号：",I4,")")))</f>
        <v/>
      </c>
      <c r="L5" s="2028"/>
      <c r="M5" s="2028"/>
      <c r="N5" s="2029"/>
      <c r="O5" s="2030"/>
      <c r="P5" s="2029"/>
      <c r="Q5" s="2029"/>
      <c r="R5" s="2029"/>
    </row>
    <row r="6" spans="1:19" ht="18" customHeight="1" thickBot="1">
      <c r="A6" s="2047" t="s">
        <v>1783</v>
      </c>
      <c r="B6" s="2946" t="s">
        <v>3040</v>
      </c>
      <c r="C6" s="2048"/>
      <c r="D6" s="2049"/>
      <c r="E6" s="2034"/>
      <c r="F6" s="2042"/>
      <c r="G6" s="2042"/>
      <c r="H6" s="2042"/>
      <c r="I6" s="2042"/>
      <c r="J6" s="2042"/>
      <c r="K6" s="2050" t="str">
        <f>IF(COUNTIF(B6,"*上海银行*"),"上海银行","")</f>
        <v/>
      </c>
      <c r="L6" s="2028"/>
      <c r="M6" s="2028"/>
      <c r="N6" s="2029"/>
      <c r="O6" s="2030"/>
      <c r="P6" s="2029"/>
      <c r="Q6" s="2029"/>
      <c r="R6" s="2029"/>
    </row>
    <row r="7" spans="1:19" ht="18" customHeight="1" thickTop="1">
      <c r="A7" s="2047" t="s">
        <v>1784</v>
      </c>
      <c r="B7" s="2947" t="s">
        <v>3041</v>
      </c>
      <c r="C7" s="2048"/>
      <c r="D7" s="2049"/>
      <c r="E7" s="2034"/>
      <c r="F7" s="2042"/>
      <c r="G7" s="2042"/>
      <c r="H7" s="2042"/>
      <c r="I7" s="2042"/>
      <c r="J7" s="2042"/>
      <c r="K7" s="2051"/>
      <c r="L7" s="2028"/>
      <c r="M7" s="2028"/>
      <c r="N7" s="2029"/>
      <c r="O7" s="2030"/>
      <c r="P7" s="2029"/>
      <c r="Q7" s="2029"/>
      <c r="R7" s="2029"/>
    </row>
    <row r="8" spans="1:19" ht="18" customHeight="1">
      <c r="A8" s="2047" t="s">
        <v>1785</v>
      </c>
      <c r="B8" s="2052" t="s">
        <v>3043</v>
      </c>
      <c r="C8" s="2053"/>
      <c r="D8" s="3162" t="s">
        <v>1786</v>
      </c>
      <c r="E8" s="2054" t="s">
        <v>3042</v>
      </c>
      <c r="F8" s="2055"/>
      <c r="G8" s="2026"/>
      <c r="H8" s="2026"/>
      <c r="I8" s="2026"/>
      <c r="J8" s="2042"/>
      <c r="K8" s="2043"/>
      <c r="L8" s="2028"/>
      <c r="M8" s="2028"/>
      <c r="N8" s="2029"/>
      <c r="O8" s="2030"/>
      <c r="P8" s="2029"/>
      <c r="Q8" s="2029"/>
      <c r="R8" s="2029"/>
    </row>
    <row r="9" spans="1:19" ht="18" customHeight="1" thickBot="1">
      <c r="A9" s="2040" t="s">
        <v>1787</v>
      </c>
      <c r="B9" s="2056" t="s">
        <v>3042</v>
      </c>
      <c r="C9" s="2057"/>
      <c r="D9" s="3163"/>
      <c r="E9" s="2056"/>
      <c r="F9" s="2058"/>
      <c r="G9" s="2059"/>
      <c r="H9" s="2059"/>
      <c r="I9" s="2059"/>
      <c r="J9" s="2042"/>
      <c r="K9" s="2051"/>
      <c r="L9" s="2028"/>
      <c r="M9" s="2028"/>
      <c r="N9" s="2029"/>
      <c r="O9" s="2030"/>
      <c r="P9" s="2029"/>
      <c r="Q9" s="2029"/>
      <c r="R9" s="2029"/>
    </row>
    <row r="10" spans="1:19" ht="18" customHeight="1" thickTop="1">
      <c r="A10" s="2060" t="s">
        <v>1788</v>
      </c>
      <c r="B10" s="2061" t="s">
        <v>3044</v>
      </c>
      <c r="C10" s="2062"/>
      <c r="D10" s="2046"/>
      <c r="E10" s="2063" t="s">
        <v>1789</v>
      </c>
      <c r="F10" s="2064" t="s">
        <v>3310</v>
      </c>
      <c r="G10" s="2065"/>
      <c r="H10" s="2066"/>
      <c r="I10" s="2046"/>
      <c r="J10" s="2042"/>
      <c r="K10" s="2051"/>
      <c r="L10" s="2028"/>
      <c r="M10" s="2028"/>
      <c r="N10" s="2029"/>
      <c r="O10" s="2030"/>
      <c r="P10" s="2029"/>
      <c r="Q10" s="2029"/>
      <c r="R10" s="2029"/>
    </row>
    <row r="11" spans="1:19" ht="18" customHeight="1">
      <c r="A11" s="2067" t="s">
        <v>1790</v>
      </c>
      <c r="B11" s="2068" t="s">
        <v>3045</v>
      </c>
      <c r="C11" s="2069"/>
      <c r="D11" s="2070"/>
      <c r="E11" s="2042"/>
      <c r="F11" s="2042"/>
      <c r="G11" s="2042"/>
      <c r="H11" s="2042"/>
      <c r="I11" s="2042"/>
      <c r="J11" s="2042"/>
      <c r="K11" s="2051"/>
      <c r="L11" s="2028"/>
      <c r="M11" s="2028"/>
      <c r="N11" s="2029"/>
      <c r="O11" s="2030"/>
      <c r="P11" s="2029"/>
      <c r="Q11" s="2029"/>
      <c r="R11" s="2029"/>
    </row>
    <row r="12" spans="1:19" ht="18" customHeight="1">
      <c r="A12" s="2071" t="s">
        <v>1791</v>
      </c>
      <c r="B12" s="2068" t="s">
        <v>3046</v>
      </c>
      <c r="C12" s="2072" t="s">
        <v>1792</v>
      </c>
      <c r="D12" s="2073" t="s">
        <v>1793</v>
      </c>
      <c r="E12" s="2073" t="s">
        <v>1794</v>
      </c>
      <c r="F12" s="2073" t="s">
        <v>1795</v>
      </c>
      <c r="G12" s="2073" t="s">
        <v>1796</v>
      </c>
      <c r="H12" s="2073" t="s">
        <v>1797</v>
      </c>
      <c r="I12" s="2073" t="s">
        <v>1798</v>
      </c>
      <c r="J12" s="2042"/>
      <c r="K12" s="2051"/>
      <c r="L12" s="2028"/>
      <c r="M12" s="2028"/>
      <c r="N12" s="2029"/>
      <c r="O12" s="2030"/>
      <c r="P12" s="2029"/>
      <c r="Q12" s="2029"/>
      <c r="R12" s="2029"/>
    </row>
    <row r="13" spans="1:19" ht="18" customHeight="1">
      <c r="A13" s="2074"/>
      <c r="B13" s="2075"/>
      <c r="C13" s="2076" t="s">
        <v>1799</v>
      </c>
      <c r="D13" s="2077">
        <v>67921</v>
      </c>
      <c r="E13" s="2077">
        <v>56963</v>
      </c>
      <c r="F13" s="2077"/>
      <c r="G13" s="2077">
        <v>60616</v>
      </c>
      <c r="H13" s="2077">
        <v>60616</v>
      </c>
      <c r="I13" s="1047"/>
      <c r="J13" s="2042"/>
      <c r="K13" s="2051"/>
      <c r="L13" s="2028"/>
      <c r="M13" s="2028"/>
      <c r="N13" s="2029"/>
      <c r="O13" s="2030"/>
      <c r="P13" s="2029"/>
      <c r="Q13" s="2029"/>
      <c r="R13" s="2029"/>
    </row>
    <row r="14" spans="1:19" ht="18" customHeight="1">
      <c r="A14" s="2074"/>
      <c r="B14" s="2075"/>
      <c r="C14" s="2076" t="s">
        <v>1800</v>
      </c>
      <c r="D14" s="1050">
        <v>70</v>
      </c>
      <c r="E14" s="1050">
        <v>40</v>
      </c>
      <c r="F14" s="1050"/>
      <c r="G14" s="1050">
        <v>50</v>
      </c>
      <c r="H14" s="1050">
        <v>50</v>
      </c>
      <c r="I14" s="1050"/>
      <c r="J14" s="2042"/>
      <c r="K14" s="2078"/>
      <c r="L14" s="2028"/>
      <c r="M14" s="2028"/>
      <c r="N14" s="2029"/>
      <c r="O14" s="2030"/>
      <c r="P14" s="2029"/>
      <c r="Q14" s="2029"/>
      <c r="R14" s="2029"/>
    </row>
    <row r="15" spans="1:19" ht="18" customHeight="1">
      <c r="A15" s="2060"/>
      <c r="B15" s="2079"/>
      <c r="C15" s="2076" t="s">
        <v>1801</v>
      </c>
      <c r="D15" s="1049">
        <f>IF(B12="出让",IF(D13="","",ROUNDDOWN(MIN((D13-$D$3)/365,D14),2)),D14)</f>
        <v>67.97</v>
      </c>
      <c r="E15" s="1049">
        <f>IF(B12="出让",IF(E13="","",ROUNDDOWN(MIN((E13-$D$3)/365,E14),2)),E14)</f>
        <v>37.950000000000003</v>
      </c>
      <c r="F15" s="1049" t="str">
        <f>IF(B12="出让",IF(F13="","",ROUNDDOWN(MIN((F13-$D$3)/365,F14),2)),F14)</f>
        <v/>
      </c>
      <c r="G15" s="1049">
        <f>IF(B12="出让",IF(G13="","",ROUNDDOWN(MIN((G13-$D$3)/365,G14),2)),G14)</f>
        <v>47.95</v>
      </c>
      <c r="H15" s="1049">
        <f>IF(B12="出让",IF(H13="","",ROUNDDOWN(MIN((H13-$D$3)/365,H14),2)),H14)</f>
        <v>47.95</v>
      </c>
      <c r="I15" s="1049" t="str">
        <f>IF(B12="出让",IF(I13="","",ROUNDDOWN(MIN((I13-$D$3)/365,I14),2)),I14)</f>
        <v/>
      </c>
      <c r="J15" s="2042"/>
      <c r="K15" s="2080"/>
      <c r="L15" s="2081"/>
      <c r="M15" s="2081"/>
      <c r="N15" s="2082"/>
      <c r="O15" s="2081"/>
      <c r="P15" s="2082"/>
      <c r="Q15" s="2029"/>
      <c r="R15" s="2029"/>
    </row>
    <row r="16" spans="1:19" ht="30.75" customHeight="1">
      <c r="A16" s="2063" t="s">
        <v>1802</v>
      </c>
      <c r="B16" s="3169" t="s">
        <v>3048</v>
      </c>
      <c r="C16" s="3170"/>
      <c r="D16" s="3171"/>
      <c r="E16" s="2083" t="s">
        <v>1803</v>
      </c>
      <c r="F16" s="3172" t="s">
        <v>3047</v>
      </c>
      <c r="G16" s="3173"/>
      <c r="H16" s="3173"/>
      <c r="I16" s="3174"/>
      <c r="J16" s="2029"/>
      <c r="K16" s="2080"/>
      <c r="L16" s="2081"/>
      <c r="M16" s="2081"/>
      <c r="N16" s="2082"/>
      <c r="O16" s="2081"/>
      <c r="P16" s="2082"/>
      <c r="Q16" s="2029"/>
      <c r="R16" s="2029"/>
    </row>
    <row r="17" spans="1:22" ht="18" customHeight="1">
      <c r="A17" s="2084" t="s">
        <v>1804</v>
      </c>
      <c r="B17" s="2035" t="s">
        <v>1805</v>
      </c>
      <c r="C17" s="1054">
        <f>'数据-汇总表'!E3</f>
        <v>117348.15999999993</v>
      </c>
      <c r="D17" s="2085" t="s">
        <v>1806</v>
      </c>
      <c r="E17" s="3175" t="s">
        <v>3143</v>
      </c>
      <c r="F17" s="3176"/>
      <c r="G17" s="3176"/>
      <c r="H17" s="3176"/>
      <c r="I17" s="3177"/>
      <c r="J17" s="2029"/>
      <c r="K17" s="2086"/>
      <c r="L17" s="2081"/>
      <c r="M17" s="2081"/>
      <c r="N17" s="2082"/>
      <c r="O17" s="2081"/>
      <c r="P17" s="2082"/>
      <c r="Q17" s="2029"/>
      <c r="R17" s="2029"/>
      <c r="S17" s="2029"/>
      <c r="T17" s="2029"/>
      <c r="U17" s="2029"/>
      <c r="V17" s="2029"/>
    </row>
    <row r="18" spans="1:22" ht="36" customHeight="1" thickBot="1">
      <c r="A18" s="2087" t="s">
        <v>70</v>
      </c>
      <c r="B18" s="2038" t="s">
        <v>1807</v>
      </c>
      <c r="C18" s="1444">
        <f>'数据-汇总表'!D3</f>
        <v>31136.97</v>
      </c>
      <c r="D18" s="2088" t="s">
        <v>1806</v>
      </c>
      <c r="E18" s="3178" t="s">
        <v>3139</v>
      </c>
      <c r="F18" s="3179"/>
      <c r="G18" s="3179"/>
      <c r="H18" s="3179"/>
      <c r="I18" s="3180"/>
      <c r="J18" s="2029"/>
      <c r="K18" s="2086"/>
      <c r="L18" s="2081"/>
      <c r="M18" s="2081"/>
      <c r="N18" s="2082"/>
      <c r="O18" s="2081"/>
      <c r="P18" s="2082"/>
      <c r="Q18" s="2029"/>
      <c r="R18" s="2029"/>
      <c r="S18" s="2029"/>
      <c r="T18" s="2029"/>
      <c r="U18" s="2029"/>
      <c r="V18" s="2029"/>
    </row>
    <row r="19" spans="1:22" ht="37.5" customHeight="1" thickTop="1" thickBot="1">
      <c r="A19" s="373" t="s">
        <v>1808</v>
      </c>
      <c r="B19" s="352" t="s">
        <v>1809</v>
      </c>
      <c r="C19" s="2089" t="s">
        <v>3145</v>
      </c>
      <c r="D19" s="2090" t="s">
        <v>1810</v>
      </c>
      <c r="E19" s="2091" t="s">
        <v>3145</v>
      </c>
      <c r="F19" s="2092" t="str">
        <f>IF(AND(C19="是",E19="否"),"是否提供他项权证或相关说明","")</f>
        <v/>
      </c>
      <c r="G19" s="2093"/>
      <c r="H19" s="2042"/>
      <c r="I19" s="2042"/>
      <c r="J19" s="2042"/>
      <c r="K19" s="2051"/>
      <c r="L19" s="2028"/>
      <c r="M19" s="2028"/>
      <c r="N19" s="2082"/>
      <c r="O19" s="2081"/>
      <c r="P19" s="2082"/>
      <c r="Q19" s="2029"/>
      <c r="R19" s="2029"/>
      <c r="S19" s="2029"/>
      <c r="T19" s="2029"/>
      <c r="U19" s="2029"/>
      <c r="V19" s="2029"/>
    </row>
    <row r="20" spans="1:22" ht="18" customHeight="1">
      <c r="A20" s="2094" t="s">
        <v>1811</v>
      </c>
      <c r="B20" s="3165" t="s">
        <v>1812</v>
      </c>
      <c r="C20" s="3166"/>
      <c r="D20" s="3167" t="s">
        <v>1813</v>
      </c>
      <c r="E20" s="3168"/>
      <c r="F20" s="2095" t="s">
        <v>1814</v>
      </c>
      <c r="G20" s="2042"/>
      <c r="H20" s="2042"/>
      <c r="I20" s="2042"/>
      <c r="J20" s="2042"/>
      <c r="K20" s="3164" t="s">
        <v>1815</v>
      </c>
      <c r="L20" s="748" t="str">
        <f>"根据估价对象"&amp;IF(B22="——",B21&amp;C21,B21&amp;C21&amp;"、"&amp;B22&amp;C22)&amp;"，"&amp;IF(C19="是","截至价值时点，估价对象已设定抵押。","截至价值时点，估价对象抵押权未见登记。")</f>
        <v>根据估价对象《不动产权证书》原件、，截至价值时点，估价对象已设定抵押。</v>
      </c>
      <c r="M20" s="2028"/>
      <c r="N20" s="2082"/>
      <c r="O20" s="2081"/>
      <c r="P20" s="2082"/>
      <c r="Q20" s="2029"/>
      <c r="R20" s="2029"/>
      <c r="S20" s="2029"/>
      <c r="T20" s="2029"/>
      <c r="U20" s="2029"/>
      <c r="V20" s="2029"/>
    </row>
    <row r="21" spans="1:22" ht="24.75" customHeight="1">
      <c r="A21" s="2094"/>
      <c r="B21" s="2096" t="s">
        <v>3144</v>
      </c>
      <c r="C21" s="2097" t="s">
        <v>1816</v>
      </c>
      <c r="D21" s="2098"/>
      <c r="E21" s="2099"/>
      <c r="F21" s="2100"/>
      <c r="G21" s="2042"/>
      <c r="H21" s="2042"/>
      <c r="I21" s="2042"/>
      <c r="J21" s="2042"/>
      <c r="K21" s="3164"/>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28"/>
      <c r="N21" s="2082"/>
      <c r="O21" s="2081"/>
      <c r="P21" s="2082"/>
      <c r="Q21" s="2029"/>
      <c r="R21" s="2029"/>
      <c r="S21" s="2029"/>
      <c r="T21" s="2029"/>
      <c r="U21" s="2029"/>
      <c r="V21" s="2029"/>
    </row>
    <row r="22" spans="1:22" ht="24.75" customHeight="1" thickBot="1">
      <c r="A22" s="2094"/>
      <c r="B22" s="2101"/>
      <c r="C22" s="2097"/>
      <c r="D22" s="2026"/>
      <c r="E22" s="2026"/>
      <c r="F22" s="2102"/>
      <c r="G22" s="2042"/>
      <c r="H22" s="2042"/>
      <c r="I22" s="2042"/>
      <c r="J22" s="2042"/>
      <c r="K22" s="3164"/>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8"/>
      <c r="N22" s="2082"/>
      <c r="O22" s="2081"/>
      <c r="P22" s="2082"/>
      <c r="Q22" s="2029"/>
      <c r="R22" s="2029"/>
      <c r="S22" s="2029"/>
      <c r="T22" s="2029"/>
      <c r="U22" s="2029"/>
      <c r="V22" s="2029"/>
    </row>
    <row r="23" spans="1:22" ht="18" customHeight="1">
      <c r="A23" s="2103" t="s">
        <v>1817</v>
      </c>
      <c r="B23" s="183" t="s">
        <v>1818</v>
      </c>
      <c r="C23" s="2104"/>
      <c r="D23" s="2105" t="s">
        <v>1818</v>
      </c>
      <c r="E23" s="2106"/>
      <c r="F23" s="2102"/>
      <c r="G23" s="2042"/>
      <c r="H23" s="2042"/>
      <c r="I23" s="2042"/>
      <c r="J23" s="2042"/>
      <c r="K23" s="2107"/>
      <c r="L23" s="748"/>
      <c r="M23" s="2028"/>
      <c r="N23" s="2082"/>
      <c r="O23" s="2081"/>
      <c r="P23" s="2082"/>
      <c r="Q23" s="2029"/>
      <c r="R23" s="2029"/>
      <c r="S23" s="2029"/>
      <c r="T23" s="2029"/>
      <c r="U23" s="2029"/>
      <c r="V23" s="2029"/>
    </row>
    <row r="24" spans="1:22" ht="18" customHeight="1">
      <c r="A24" s="2108"/>
      <c r="B24" s="183" t="s">
        <v>1819</v>
      </c>
      <c r="C24" s="2109"/>
      <c r="D24" s="2103" t="s">
        <v>1819</v>
      </c>
      <c r="E24" s="2110"/>
      <c r="F24" s="2102"/>
      <c r="G24" s="2042"/>
      <c r="H24" s="2042"/>
      <c r="I24" s="2042"/>
      <c r="J24" s="2042"/>
      <c r="K24" s="2107"/>
      <c r="L24" s="748"/>
      <c r="M24" s="2028"/>
      <c r="N24" s="2082"/>
      <c r="O24" s="2081"/>
      <c r="P24" s="2082"/>
      <c r="Q24" s="2029"/>
      <c r="R24" s="2029"/>
      <c r="S24" s="2029"/>
      <c r="T24" s="2029"/>
      <c r="U24" s="2029"/>
      <c r="V24" s="2029"/>
    </row>
    <row r="25" spans="1:22" ht="18" customHeight="1">
      <c r="A25" s="2108"/>
      <c r="B25" s="183" t="s">
        <v>1820</v>
      </c>
      <c r="C25" s="2109"/>
      <c r="D25" s="2103" t="s">
        <v>1820</v>
      </c>
      <c r="E25" s="2110"/>
      <c r="F25" s="2102"/>
      <c r="G25" s="2042"/>
      <c r="H25" s="2042"/>
      <c r="I25" s="2042"/>
      <c r="J25" s="2042"/>
      <c r="K25" s="2051"/>
      <c r="L25" s="2028"/>
      <c r="M25" s="2028"/>
      <c r="N25" s="2082"/>
      <c r="O25" s="2081"/>
      <c r="P25" s="2082"/>
      <c r="Q25" s="2029"/>
      <c r="R25" s="2029"/>
      <c r="S25" s="2029"/>
      <c r="T25" s="2029"/>
      <c r="U25" s="2029"/>
      <c r="V25" s="2029"/>
    </row>
    <row r="26" spans="1:22" ht="18" customHeight="1" thickBot="1">
      <c r="A26" s="2111"/>
      <c r="B26" s="2112" t="s">
        <v>1821</v>
      </c>
      <c r="C26" s="2113"/>
      <c r="D26" s="2114" t="s">
        <v>1822</v>
      </c>
      <c r="E26" s="2115"/>
      <c r="F26" s="2116"/>
      <c r="G26" s="2059"/>
      <c r="H26" s="2059"/>
      <c r="I26" s="2059"/>
      <c r="J26" s="2042"/>
      <c r="K26" s="2051"/>
      <c r="L26" s="2028"/>
      <c r="M26" s="2028"/>
      <c r="N26" s="2082"/>
      <c r="O26" s="2081"/>
      <c r="P26" s="2082"/>
      <c r="Q26" s="2029"/>
      <c r="R26" s="2029"/>
      <c r="S26" s="2029"/>
      <c r="T26" s="2029"/>
      <c r="U26" s="2029"/>
      <c r="V26" s="2029"/>
    </row>
    <row r="27" spans="1:22" ht="18" customHeight="1" thickTop="1">
      <c r="A27" s="3152" t="s">
        <v>1823</v>
      </c>
      <c r="B27" s="2060" t="s">
        <v>1824</v>
      </c>
      <c r="C27" s="2117" t="s">
        <v>3146</v>
      </c>
      <c r="D27" s="2118"/>
      <c r="E27" s="2042"/>
      <c r="F27" s="2042"/>
      <c r="G27" s="2042"/>
      <c r="H27" s="2042"/>
      <c r="I27" s="2042"/>
      <c r="J27" s="2029"/>
      <c r="K27" s="2080"/>
      <c r="L27" s="2081"/>
      <c r="M27" s="2081"/>
      <c r="N27" s="2082"/>
      <c r="O27" s="2081"/>
      <c r="P27" s="2082"/>
      <c r="Q27" s="2029"/>
      <c r="R27" s="2029"/>
      <c r="S27" s="2029"/>
      <c r="T27" s="2029"/>
      <c r="U27" s="2029"/>
      <c r="V27" s="2029"/>
    </row>
    <row r="28" spans="1:22" ht="18" customHeight="1">
      <c r="A28" s="3152"/>
      <c r="B28" s="2035" t="s">
        <v>1825</v>
      </c>
      <c r="C28" s="2119"/>
      <c r="D28" s="2120"/>
      <c r="E28" s="2042"/>
      <c r="F28" s="2042"/>
      <c r="G28" s="2042"/>
      <c r="H28" s="2042"/>
      <c r="I28" s="2042"/>
      <c r="J28" s="2029"/>
      <c r="K28" s="2121"/>
      <c r="L28" s="2028"/>
      <c r="M28" s="2028"/>
      <c r="N28" s="2029"/>
      <c r="O28" s="2030"/>
      <c r="P28" s="2029"/>
      <c r="Q28" s="2029"/>
      <c r="R28" s="2029"/>
      <c r="S28" s="2029"/>
      <c r="T28" s="2029"/>
      <c r="U28" s="2029"/>
      <c r="V28" s="2029"/>
    </row>
    <row r="29" spans="1:22" ht="18" customHeight="1">
      <c r="A29" s="3152"/>
      <c r="B29" s="2035" t="s">
        <v>1826</v>
      </c>
      <c r="C29" s="2122" t="s">
        <v>3147</v>
      </c>
      <c r="D29" s="2123"/>
      <c r="E29" s="2042"/>
      <c r="F29" s="2042"/>
      <c r="G29" s="2042"/>
      <c r="H29" s="2042"/>
      <c r="I29" s="2042"/>
      <c r="J29" s="2029"/>
      <c r="K29" s="2121"/>
      <c r="L29" s="2028"/>
      <c r="M29" s="2028"/>
      <c r="N29" s="2029"/>
      <c r="O29" s="2030"/>
      <c r="P29" s="2029"/>
      <c r="Q29" s="2029"/>
      <c r="R29" s="2029"/>
      <c r="S29" s="2029"/>
      <c r="T29" s="2029"/>
      <c r="U29" s="2029"/>
      <c r="V29" s="2029"/>
    </row>
    <row r="30" spans="1:22" ht="18" customHeight="1">
      <c r="A30" s="3153"/>
      <c r="B30" s="2035" t="s">
        <v>1827</v>
      </c>
      <c r="C30" s="3154"/>
      <c r="D30" s="3155"/>
      <c r="E30" s="2042"/>
      <c r="F30" s="2042"/>
      <c r="G30" s="2042"/>
      <c r="H30" s="2042"/>
      <c r="I30" s="2042"/>
      <c r="J30" s="2029"/>
      <c r="K30" s="2121"/>
      <c r="L30" s="2028"/>
      <c r="M30" s="2028"/>
      <c r="N30" s="2029"/>
      <c r="O30" s="2030"/>
      <c r="P30" s="2029"/>
      <c r="Q30" s="2029"/>
      <c r="R30" s="2029"/>
      <c r="S30" s="2029"/>
      <c r="T30" s="2029"/>
      <c r="U30" s="2029"/>
      <c r="V30" s="2029"/>
    </row>
    <row r="31" spans="1:22" ht="18" customHeight="1">
      <c r="A31" s="3156" t="s">
        <v>1828</v>
      </c>
      <c r="B31" s="2124" t="s">
        <v>3148</v>
      </c>
      <c r="C31" s="2125" t="str">
        <f>IF(B31="现房","成新及维护状况正常否",IF(B31="在建","工程状态是否正常",IF(B31="土地","是否闲置","-")))</f>
        <v>工程状态是否正常</v>
      </c>
      <c r="D31" s="2126"/>
      <c r="E31" s="2127"/>
      <c r="F31" s="2042"/>
      <c r="G31" s="2042"/>
      <c r="H31" s="2042"/>
      <c r="I31" s="2042"/>
      <c r="J31" s="2042"/>
      <c r="K31" s="2050"/>
      <c r="L31" s="2028"/>
      <c r="M31" s="2028"/>
      <c r="N31" s="2029"/>
      <c r="O31" s="2030"/>
      <c r="P31" s="2029"/>
      <c r="Q31" s="2029"/>
      <c r="R31" s="2029"/>
      <c r="S31" s="2029"/>
      <c r="T31" s="2029"/>
      <c r="U31" s="2029"/>
      <c r="V31" s="2029"/>
    </row>
    <row r="32" spans="1:22" ht="18" customHeight="1">
      <c r="A32" s="3157"/>
      <c r="B32" s="2124"/>
      <c r="C32" s="2125" t="str">
        <f>IF(B32="现房","成新及维护状况是否正常",IF(B32="在建","工程状态是否正常",IF(B32="土地","是否闲置","-")))</f>
        <v>-</v>
      </c>
      <c r="D32" s="2126"/>
      <c r="E32" s="2127"/>
      <c r="F32" s="2042"/>
      <c r="G32" s="2042"/>
      <c r="H32" s="2042"/>
      <c r="I32" s="2042"/>
      <c r="J32" s="2042"/>
      <c r="K32" s="2051"/>
      <c r="L32" s="2028"/>
      <c r="M32" s="2028"/>
      <c r="N32" s="2029"/>
      <c r="O32" s="2030"/>
      <c r="P32" s="2029"/>
      <c r="Q32" s="2029"/>
      <c r="R32" s="2029"/>
      <c r="S32" s="2029"/>
      <c r="T32" s="2029"/>
      <c r="U32" s="2029"/>
      <c r="V32" s="2029"/>
    </row>
    <row r="33" spans="1:22" ht="18" customHeight="1">
      <c r="A33" s="3157"/>
      <c r="B33" s="2128"/>
      <c r="C33" s="2067" t="str">
        <f>IF(B33="现房","成新及维护状况是否正常",IF(B33="在建","工程状态是否正常",IF(B33="土地","是否闲置","-")))</f>
        <v>-</v>
      </c>
      <c r="D33" s="2129"/>
      <c r="E33" s="2130"/>
      <c r="F33" s="2042"/>
      <c r="G33" s="2042"/>
      <c r="H33" s="2042"/>
      <c r="I33" s="2042"/>
      <c r="J33" s="2042"/>
      <c r="K33" s="2051"/>
      <c r="L33" s="2028"/>
      <c r="M33" s="2028"/>
      <c r="N33" s="2029"/>
      <c r="O33" s="2030"/>
      <c r="P33" s="2029"/>
      <c r="Q33" s="2029"/>
      <c r="R33" s="2029"/>
      <c r="S33" s="2029"/>
      <c r="T33" s="2029"/>
      <c r="U33" s="2029"/>
      <c r="V33" s="2029"/>
    </row>
    <row r="34" spans="1:22" ht="18" customHeight="1">
      <c r="A34" s="2035" t="s">
        <v>1829</v>
      </c>
      <c r="B34" s="2131"/>
      <c r="C34" s="2131"/>
      <c r="D34" s="2131"/>
      <c r="E34" s="2131"/>
      <c r="F34" s="2131"/>
      <c r="G34" s="2131"/>
      <c r="H34" s="2131"/>
      <c r="I34" s="2042"/>
      <c r="J34" s="2042"/>
      <c r="K34" s="1795">
        <f>COUNTIF(B34:H34,"——")</f>
        <v>0</v>
      </c>
      <c r="L34" s="2072" t="s">
        <v>1830</v>
      </c>
      <c r="M34" s="2072" t="s">
        <v>1831</v>
      </c>
      <c r="N34" s="2072" t="s">
        <v>1832</v>
      </c>
      <c r="O34" s="2072" t="s">
        <v>1833</v>
      </c>
      <c r="P34" s="2072" t="s">
        <v>1834</v>
      </c>
      <c r="Q34" s="2072" t="s">
        <v>1835</v>
      </c>
      <c r="R34" s="2072" t="s">
        <v>1836</v>
      </c>
      <c r="S34" s="3151" t="s">
        <v>1837</v>
      </c>
      <c r="T34" s="2132" t="str">
        <f>NUMBERSTRING(7-K34,1)&amp;"通"</f>
        <v>七通</v>
      </c>
      <c r="U34" s="2029"/>
      <c r="V34" s="2029"/>
    </row>
    <row r="35" spans="1:22" ht="18" customHeight="1">
      <c r="A35" s="2133"/>
      <c r="B35" s="3158" t="s">
        <v>1838</v>
      </c>
      <c r="C35" s="3158"/>
      <c r="D35" s="3158"/>
      <c r="E35" s="3158"/>
      <c r="F35" s="2134">
        <f>C10</f>
        <v>0</v>
      </c>
      <c r="G35" s="2042"/>
      <c r="H35" s="2042"/>
      <c r="I35" s="2042"/>
      <c r="J35" s="2042"/>
      <c r="K35" s="2072"/>
      <c r="L35" s="2072">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151"/>
      <c r="T35" s="48" t="str">
        <f>IF(T34="一通",L35,IF(T34="二通",M35,IF(T34="三通",N35,IF(T34="四通",O35,IF(T34="五通",P35,IF(T34="六通",Q35,R35))))))</f>
        <v>、、、、、、</v>
      </c>
      <c r="U35" s="2029"/>
      <c r="V35" s="2029"/>
    </row>
    <row r="36" spans="1:22" ht="18" customHeight="1">
      <c r="A36" s="2135"/>
      <c r="B36" s="2134" t="s">
        <v>1839</v>
      </c>
      <c r="C36" s="2134" t="s">
        <v>1840</v>
      </c>
      <c r="D36" s="2134" t="s">
        <v>1841</v>
      </c>
      <c r="E36" s="2134" t="s">
        <v>1842</v>
      </c>
      <c r="F36" s="2136"/>
      <c r="G36" s="2042"/>
      <c r="H36" s="2042"/>
      <c r="I36" s="2042"/>
      <c r="J36" s="2042"/>
      <c r="K36" s="2051"/>
      <c r="L36" s="2028"/>
      <c r="M36" s="2028"/>
      <c r="N36" s="2029"/>
      <c r="O36" s="2030"/>
      <c r="P36" s="2029"/>
      <c r="Q36" s="2029"/>
      <c r="R36" s="2029"/>
      <c r="S36" s="2029"/>
      <c r="T36" s="2029"/>
      <c r="U36" s="2029"/>
      <c r="V36" s="2029"/>
    </row>
    <row r="37" spans="1:22" ht="18" customHeight="1">
      <c r="A37" s="2137" t="s">
        <v>1843</v>
      </c>
      <c r="B37" s="2138" t="s">
        <v>526</v>
      </c>
      <c r="C37" s="2138" t="s">
        <v>526</v>
      </c>
      <c r="D37" s="2138" t="s">
        <v>526</v>
      </c>
      <c r="E37" s="2138"/>
      <c r="F37" s="2136"/>
      <c r="G37" s="2042"/>
      <c r="H37" s="2042"/>
      <c r="I37" s="2042"/>
      <c r="J37" s="2042"/>
      <c r="K37" s="2051"/>
      <c r="L37" s="2028"/>
      <c r="M37" s="2028"/>
      <c r="N37" s="2029"/>
      <c r="O37" s="2030"/>
      <c r="P37" s="2029"/>
      <c r="Q37" s="2029"/>
      <c r="R37" s="2029"/>
      <c r="S37" s="2029"/>
      <c r="T37" s="2029"/>
      <c r="U37" s="2029"/>
      <c r="V37" s="2029"/>
    </row>
    <row r="38" spans="1:22" ht="18" customHeight="1" thickBot="1">
      <c r="A38" s="2139" t="s">
        <v>1844</v>
      </c>
      <c r="B38" s="2140" t="s">
        <v>439</v>
      </c>
      <c r="C38" s="2140" t="s">
        <v>439</v>
      </c>
      <c r="D38" s="2140" t="s">
        <v>439</v>
      </c>
      <c r="E38" s="2140"/>
      <c r="F38" s="2141"/>
      <c r="G38" s="2059"/>
      <c r="H38" s="2059"/>
      <c r="I38" s="2059"/>
      <c r="J38" s="2042"/>
      <c r="K38" s="2051"/>
      <c r="L38" s="2028"/>
      <c r="M38" s="2028"/>
      <c r="N38" s="2029"/>
      <c r="O38" s="2030"/>
      <c r="P38" s="2029"/>
      <c r="Q38" s="2029"/>
      <c r="R38" s="2029"/>
      <c r="S38" s="2029"/>
      <c r="T38" s="2029"/>
      <c r="U38" s="2029"/>
      <c r="V38" s="2029"/>
    </row>
    <row r="39" spans="1:22" s="2146" customFormat="1" ht="18" customHeight="1" thickTop="1" thickBot="1">
      <c r="A39" s="2142" t="s">
        <v>1845</v>
      </c>
      <c r="B39" s="2143"/>
      <c r="C39" s="2143"/>
      <c r="D39" s="2143"/>
      <c r="E39" s="2143"/>
      <c r="F39" s="2143"/>
      <c r="G39" s="2143"/>
      <c r="H39" s="2143"/>
      <c r="I39" s="2143"/>
      <c r="J39" s="2143"/>
      <c r="K39" s="2144"/>
      <c r="L39" s="2143"/>
      <c r="M39" s="2143"/>
      <c r="N39" s="2143"/>
      <c r="O39" s="2145"/>
      <c r="P39" s="2143"/>
      <c r="Q39" s="2143"/>
      <c r="R39" s="2143"/>
      <c r="S39" s="2143"/>
      <c r="T39" s="2143"/>
      <c r="U39" s="2143"/>
      <c r="V39" s="2143"/>
    </row>
    <row r="40" spans="1:22" ht="18" customHeight="1">
      <c r="A40" s="2029"/>
      <c r="B40" s="2029"/>
      <c r="C40" s="2029"/>
      <c r="D40" s="2029"/>
      <c r="E40" s="2029"/>
      <c r="F40" s="2029"/>
      <c r="G40" s="2029"/>
      <c r="H40" s="2029"/>
      <c r="I40" s="2147"/>
      <c r="J40" s="2082"/>
      <c r="K40" s="666"/>
      <c r="L40" s="2081"/>
      <c r="M40" s="2081"/>
      <c r="N40" s="2082"/>
      <c r="O40" s="2081"/>
      <c r="P40" s="2029"/>
      <c r="Q40" s="2029"/>
      <c r="R40" s="2029"/>
      <c r="S40" s="2029"/>
      <c r="T40" s="2029"/>
      <c r="U40" s="2029"/>
      <c r="V40" s="2029"/>
    </row>
    <row r="41" spans="1:22" ht="18" customHeight="1">
      <c r="A41" s="8" t="s">
        <v>1846</v>
      </c>
      <c r="B41" s="2148"/>
      <c r="C41" s="2149"/>
      <c r="D41" s="2029"/>
      <c r="E41" s="2029"/>
      <c r="F41" s="2029"/>
      <c r="G41" s="2029"/>
      <c r="H41" s="2029"/>
      <c r="I41" s="2030"/>
      <c r="J41" s="2029"/>
      <c r="K41" s="2121"/>
      <c r="L41" s="2028"/>
      <c r="M41" s="2028"/>
      <c r="N41" s="2029"/>
      <c r="O41" s="2030"/>
      <c r="P41" s="2029"/>
      <c r="Q41" s="2029"/>
      <c r="R41" s="2029"/>
      <c r="S41" s="2029"/>
      <c r="T41" s="2029"/>
      <c r="U41" s="2029"/>
      <c r="V41" s="2029"/>
    </row>
    <row r="42" spans="1:22" ht="18" customHeight="1">
      <c r="A42" s="2072" t="s">
        <v>1847</v>
      </c>
      <c r="B42" s="1795" t="s">
        <v>1848</v>
      </c>
      <c r="C42" s="1795" t="s">
        <v>1849</v>
      </c>
      <c r="D42" s="1795" t="s">
        <v>1850</v>
      </c>
      <c r="E42" s="1795" t="s">
        <v>1851</v>
      </c>
      <c r="F42" s="1795" t="s">
        <v>1852</v>
      </c>
      <c r="G42" s="1795" t="s">
        <v>1853</v>
      </c>
      <c r="H42" s="1795" t="s">
        <v>1854</v>
      </c>
      <c r="I42" s="1795" t="s">
        <v>1855</v>
      </c>
      <c r="J42" s="2150" t="s">
        <v>1856</v>
      </c>
      <c r="K42" s="2073" t="s">
        <v>1857</v>
      </c>
      <c r="L42" s="2073" t="s">
        <v>1858</v>
      </c>
      <c r="M42" s="2073" t="s">
        <v>1859</v>
      </c>
      <c r="N42" s="1795" t="s">
        <v>1860</v>
      </c>
      <c r="O42" s="1795" t="s">
        <v>1861</v>
      </c>
      <c r="P42" s="1795" t="s">
        <v>1862</v>
      </c>
      <c r="Q42" s="2072" t="s">
        <v>1863</v>
      </c>
      <c r="R42" s="2072" t="s">
        <v>1864</v>
      </c>
      <c r="S42" s="2029"/>
      <c r="T42" s="2029"/>
      <c r="U42" s="2029"/>
      <c r="V42" s="2029"/>
    </row>
    <row r="43" spans="1:22" s="2155" customFormat="1" ht="18" customHeight="1">
      <c r="A43" s="2151"/>
      <c r="B43" s="1272"/>
      <c r="C43" s="1272"/>
      <c r="D43" s="1272"/>
      <c r="E43" s="1272"/>
      <c r="F43" s="1272"/>
      <c r="G43" s="1272"/>
      <c r="H43" s="9"/>
      <c r="I43" s="9"/>
      <c r="J43" s="2152"/>
      <c r="K43" s="2153"/>
      <c r="L43" s="2153"/>
      <c r="M43" s="9"/>
      <c r="N43" s="1272"/>
      <c r="O43" s="9"/>
      <c r="P43" s="1272"/>
      <c r="Q43" s="1272"/>
      <c r="R43" s="1272"/>
      <c r="S43" s="2154"/>
      <c r="T43" s="2154"/>
      <c r="U43" s="2154"/>
      <c r="V43" s="2154"/>
    </row>
    <row r="44" spans="1:22" s="2155" customFormat="1" ht="18" customHeight="1">
      <c r="A44" s="2151"/>
      <c r="B44" s="2151"/>
      <c r="C44" s="1272"/>
      <c r="D44" s="1272"/>
      <c r="E44" s="1272"/>
      <c r="F44" s="1272"/>
      <c r="G44" s="1272"/>
      <c r="H44" s="9"/>
      <c r="I44" s="9"/>
      <c r="J44" s="2152"/>
      <c r="K44" s="2153"/>
      <c r="L44" s="2153"/>
      <c r="M44" s="9"/>
      <c r="N44" s="1272"/>
      <c r="O44" s="9"/>
      <c r="P44" s="1272"/>
      <c r="Q44" s="1272"/>
      <c r="R44" s="1272"/>
      <c r="S44" s="2154"/>
      <c r="T44" s="2154"/>
      <c r="U44" s="2154"/>
      <c r="V44" s="2154"/>
    </row>
    <row r="45" spans="1:22" s="2155" customFormat="1" ht="18" customHeight="1">
      <c r="A45" s="2151"/>
      <c r="B45" s="2151"/>
      <c r="C45" s="1272"/>
      <c r="D45" s="1272"/>
      <c r="E45" s="1272"/>
      <c r="F45" s="1272"/>
      <c r="G45" s="1272"/>
      <c r="H45" s="9"/>
      <c r="I45" s="9"/>
      <c r="J45" s="2152"/>
      <c r="K45" s="2153"/>
      <c r="L45" s="2153"/>
      <c r="M45" s="9"/>
      <c r="N45" s="1272"/>
      <c r="O45" s="9"/>
      <c r="P45" s="1272"/>
      <c r="Q45" s="1272"/>
      <c r="R45" s="1272"/>
      <c r="S45" s="2154"/>
      <c r="T45" s="2154"/>
      <c r="U45" s="2154"/>
      <c r="V45" s="2154"/>
    </row>
    <row r="46" spans="1:22" s="2155" customFormat="1" ht="18" customHeight="1">
      <c r="A46" s="2151"/>
      <c r="B46" s="2151"/>
      <c r="C46" s="1272"/>
      <c r="D46" s="1272"/>
      <c r="E46" s="1272"/>
      <c r="F46" s="1272"/>
      <c r="G46" s="1272"/>
      <c r="H46" s="9"/>
      <c r="I46" s="9"/>
      <c r="J46" s="2152"/>
      <c r="K46" s="2153"/>
      <c r="L46" s="2153"/>
      <c r="M46" s="9"/>
      <c r="N46" s="1272"/>
      <c r="O46" s="9"/>
      <c r="P46" s="1272"/>
      <c r="Q46" s="1272"/>
      <c r="R46" s="1272"/>
      <c r="S46" s="2154"/>
      <c r="T46" s="2154"/>
      <c r="U46" s="2154"/>
      <c r="V46" s="2154"/>
    </row>
    <row r="47" spans="1:22" s="2155" customFormat="1" ht="18" customHeight="1">
      <c r="A47" s="2151"/>
      <c r="B47" s="2151"/>
      <c r="C47" s="1272"/>
      <c r="D47" s="1272"/>
      <c r="E47" s="1272"/>
      <c r="F47" s="1272"/>
      <c r="G47" s="1272"/>
      <c r="H47" s="9"/>
      <c r="I47" s="9"/>
      <c r="J47" s="2152"/>
      <c r="K47" s="2153"/>
      <c r="L47" s="2153"/>
      <c r="M47" s="9"/>
      <c r="N47" s="1272"/>
      <c r="O47" s="9"/>
      <c r="P47" s="1272"/>
      <c r="Q47" s="1272"/>
      <c r="R47" s="1272"/>
      <c r="S47" s="2154"/>
      <c r="T47" s="2154"/>
      <c r="U47" s="2154"/>
      <c r="V47" s="2154"/>
    </row>
    <row r="48" spans="1:22" s="2155" customFormat="1" ht="18" customHeight="1">
      <c r="A48" s="2151"/>
      <c r="B48" s="2151"/>
      <c r="C48" s="1272"/>
      <c r="D48" s="1272"/>
      <c r="E48" s="1272"/>
      <c r="F48" s="1272"/>
      <c r="G48" s="1272"/>
      <c r="H48" s="9"/>
      <c r="I48" s="9"/>
      <c r="J48" s="2152"/>
      <c r="K48" s="2153"/>
      <c r="L48" s="2153"/>
      <c r="M48" s="9"/>
      <c r="N48" s="1272"/>
      <c r="O48" s="9"/>
      <c r="P48" s="1272"/>
      <c r="Q48" s="1272"/>
      <c r="R48" s="1272"/>
      <c r="S48" s="2154"/>
      <c r="T48" s="2154"/>
      <c r="U48" s="2154"/>
      <c r="V48" s="2154"/>
    </row>
    <row r="49" spans="1:22" s="2155" customFormat="1" ht="18" customHeight="1">
      <c r="A49" s="2151"/>
      <c r="B49" s="2151"/>
      <c r="C49" s="1272"/>
      <c r="D49" s="1272"/>
      <c r="E49" s="1272"/>
      <c r="F49" s="1272"/>
      <c r="G49" s="1272"/>
      <c r="H49" s="9"/>
      <c r="I49" s="9"/>
      <c r="J49" s="2152"/>
      <c r="K49" s="2153"/>
      <c r="L49" s="2153"/>
      <c r="M49" s="9"/>
      <c r="N49" s="1272"/>
      <c r="O49" s="9"/>
      <c r="P49" s="1272"/>
      <c r="Q49" s="1272"/>
      <c r="R49" s="1272"/>
      <c r="S49" s="2154"/>
      <c r="T49" s="2154"/>
      <c r="U49" s="2154"/>
      <c r="V49" s="2154"/>
    </row>
    <row r="50" spans="1:22" s="2155" customFormat="1" ht="18" customHeight="1">
      <c r="A50" s="2151"/>
      <c r="B50" s="2151"/>
      <c r="C50" s="1272"/>
      <c r="D50" s="1272"/>
      <c r="E50" s="1272"/>
      <c r="F50" s="1272"/>
      <c r="G50" s="1272"/>
      <c r="H50" s="9"/>
      <c r="I50" s="9"/>
      <c r="J50" s="2152"/>
      <c r="K50" s="2153"/>
      <c r="L50" s="2153"/>
      <c r="M50" s="9"/>
      <c r="N50" s="1272"/>
      <c r="O50" s="9"/>
      <c r="P50" s="1272"/>
      <c r="Q50" s="1272"/>
      <c r="R50" s="1272"/>
      <c r="S50" s="2154"/>
      <c r="T50" s="2154"/>
      <c r="U50" s="2154"/>
      <c r="V50" s="2154"/>
    </row>
    <row r="51" spans="1:22" s="2155" customFormat="1" ht="18" customHeight="1">
      <c r="A51" s="2151"/>
      <c r="B51" s="2151"/>
      <c r="C51" s="1272"/>
      <c r="D51" s="1272"/>
      <c r="E51" s="1272"/>
      <c r="F51" s="1272"/>
      <c r="G51" s="1272"/>
      <c r="H51" s="9"/>
      <c r="I51" s="9"/>
      <c r="J51" s="2152"/>
      <c r="K51" s="2153"/>
      <c r="L51" s="2153"/>
      <c r="M51" s="9"/>
      <c r="N51" s="1272"/>
      <c r="O51" s="9"/>
      <c r="P51" s="1272"/>
      <c r="Q51" s="1272"/>
      <c r="R51" s="1272"/>
    </row>
    <row r="52" spans="1:22" s="2155" customFormat="1" ht="18" customHeight="1">
      <c r="A52" s="10"/>
      <c r="B52" s="10"/>
      <c r="C52" s="10"/>
      <c r="D52" s="10"/>
      <c r="E52" s="10"/>
      <c r="F52" s="9"/>
      <c r="G52" s="10"/>
      <c r="H52" s="10"/>
      <c r="I52" s="10"/>
      <c r="J52" s="2156"/>
      <c r="K52" s="2153"/>
      <c r="L52" s="2153"/>
      <c r="M52" s="2153"/>
      <c r="N52" s="10"/>
      <c r="O52" s="10"/>
      <c r="P52" s="10"/>
      <c r="Q52" s="10"/>
      <c r="R52" s="10"/>
    </row>
    <row r="53" spans="1:22" s="2155" customFormat="1" ht="18" customHeight="1">
      <c r="A53" s="10"/>
      <c r="B53" s="10"/>
      <c r="C53" s="10"/>
      <c r="D53" s="10"/>
      <c r="E53" s="10"/>
      <c r="F53" s="9"/>
      <c r="G53" s="10"/>
      <c r="H53" s="10"/>
      <c r="I53" s="10"/>
      <c r="J53" s="2156"/>
      <c r="K53" s="2153"/>
      <c r="L53" s="2153"/>
      <c r="M53" s="2153"/>
      <c r="N53" s="10"/>
      <c r="O53" s="10"/>
      <c r="P53" s="10"/>
      <c r="Q53" s="10"/>
      <c r="R53" s="10"/>
    </row>
    <row r="54" spans="1:22" s="2155" customFormat="1" ht="18" customHeight="1">
      <c r="A54" s="10"/>
      <c r="B54" s="10"/>
      <c r="C54" s="10"/>
      <c r="D54" s="10"/>
      <c r="E54" s="10"/>
      <c r="F54" s="9"/>
      <c r="G54" s="10"/>
      <c r="H54" s="10"/>
      <c r="I54" s="10"/>
      <c r="J54" s="2156"/>
      <c r="K54" s="2153"/>
      <c r="L54" s="2153"/>
      <c r="M54" s="2153"/>
      <c r="N54" s="10"/>
      <c r="O54" s="10"/>
      <c r="P54" s="10"/>
      <c r="Q54" s="10"/>
      <c r="R54" s="10"/>
    </row>
    <row r="55" spans="1:22" s="2155" customFormat="1" ht="18" customHeight="1">
      <c r="A55" s="10"/>
      <c r="B55" s="10"/>
      <c r="C55" s="10"/>
      <c r="D55" s="10"/>
      <c r="E55" s="10"/>
      <c r="F55" s="9"/>
      <c r="G55" s="10"/>
      <c r="H55" s="10"/>
      <c r="I55" s="10"/>
      <c r="J55" s="2156"/>
      <c r="K55" s="2153"/>
      <c r="L55" s="2153"/>
      <c r="M55" s="2153"/>
      <c r="N55" s="10"/>
      <c r="O55" s="10"/>
      <c r="P55" s="10"/>
      <c r="Q55" s="10"/>
      <c r="R55" s="10"/>
    </row>
    <row r="56" spans="1:22" s="2155" customFormat="1" ht="18" customHeight="1">
      <c r="A56" s="10"/>
      <c r="B56" s="10"/>
      <c r="C56" s="10"/>
      <c r="D56" s="10"/>
      <c r="E56" s="10"/>
      <c r="F56" s="9"/>
      <c r="G56" s="10"/>
      <c r="H56" s="10"/>
      <c r="I56" s="10"/>
      <c r="J56" s="2156"/>
      <c r="K56" s="2153"/>
      <c r="L56" s="2153"/>
      <c r="M56" s="2153"/>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3"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A32" activePane="bottomRight" state="frozen"/>
      <selection activeCell="C50" sqref="C50"/>
      <selection pane="topRight" activeCell="C50" sqref="C50"/>
      <selection pane="bottomLeft" activeCell="C50" sqref="C50"/>
      <selection pane="bottomRight" activeCell="O35" sqref="O35"/>
    </sheetView>
  </sheetViews>
  <sheetFormatPr defaultColWidth="8.875" defaultRowHeight="14.25"/>
  <cols>
    <col min="1" max="1" width="10.625" style="2157" customWidth="1"/>
    <col min="2" max="2" width="11" style="2157" customWidth="1"/>
    <col min="3" max="3" width="10.375" style="2157" customWidth="1"/>
    <col min="4" max="4" width="9.125" style="2157" customWidth="1"/>
    <col min="5" max="6" width="10" style="2220" customWidth="1"/>
    <col min="7" max="8" width="10" style="2157" customWidth="1"/>
    <col min="9" max="9" width="10.625" style="2157" customWidth="1"/>
    <col min="10" max="10" width="9.5" style="2157" customWidth="1"/>
    <col min="11" max="11" width="11" style="2157" customWidth="1"/>
    <col min="12" max="14" width="9.5" style="2157" customWidth="1"/>
    <col min="15" max="15" width="9.875" style="2157" customWidth="1"/>
    <col min="16" max="16" width="9.75" style="2157" customWidth="1"/>
    <col min="17" max="17" width="9.375" style="2157" customWidth="1"/>
    <col min="18" max="18" width="9.25" style="2157" customWidth="1"/>
    <col min="19" max="19" width="10.875" style="2157" customWidth="1"/>
    <col min="20" max="21" width="10.75" style="2157" customWidth="1"/>
    <col min="22" max="22" width="10.875" style="2157" customWidth="1"/>
    <col min="23" max="27" width="10.75" style="2157" customWidth="1"/>
    <col min="28" max="28" width="10.875" style="2157" customWidth="1"/>
    <col min="29" max="29" width="11" style="2157" bestFit="1" customWidth="1"/>
    <col min="30" max="30" width="10" style="2157" bestFit="1" customWidth="1"/>
    <col min="31" max="31" width="9.75" style="2157" customWidth="1"/>
    <col min="32" max="46" width="9.5" style="2157" customWidth="1"/>
    <col min="47" max="47" width="18.125" style="2157" customWidth="1"/>
    <col min="48" max="50" width="9.75" style="2157" customWidth="1"/>
    <col min="51" max="55" width="10.5" style="2157" bestFit="1" customWidth="1"/>
    <col min="56" max="56" width="9.5" style="2157" bestFit="1" customWidth="1"/>
    <col min="57" max="63" width="9.125" style="2157" bestFit="1" customWidth="1"/>
    <col min="64" max="64" width="9.5" style="2157" bestFit="1" customWidth="1"/>
    <col min="65" max="65" width="9.125" style="2157" bestFit="1" customWidth="1"/>
    <col min="66" max="66" width="9.5" style="2157" bestFit="1" customWidth="1"/>
    <col min="67" max="69" width="9.125" style="2157" bestFit="1" customWidth="1"/>
    <col min="70" max="70" width="9.5" style="2157" bestFit="1" customWidth="1"/>
    <col min="71" max="71" width="9" style="2157" customWidth="1"/>
    <col min="72" max="72" width="9.125" style="2157" bestFit="1" customWidth="1"/>
    <col min="73" max="16384" width="8.875" style="2157"/>
  </cols>
  <sheetData>
    <row r="1" spans="1:72" ht="20.25">
      <c r="A1" s="2160" t="s">
        <v>1865</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c r="AT1" s="2030"/>
      <c r="AU1" s="2030"/>
      <c r="AV1" s="2161" t="s">
        <v>1866</v>
      </c>
      <c r="AW1" s="2030"/>
      <c r="AX1" s="2030"/>
      <c r="AY1" s="2030"/>
      <c r="AZ1" s="2030"/>
      <c r="BA1" s="2030"/>
      <c r="BB1" s="2030"/>
      <c r="BC1" s="2030"/>
      <c r="BD1" s="2030"/>
      <c r="BE1" s="2030"/>
      <c r="BF1" s="2030"/>
      <c r="BG1" s="2030"/>
      <c r="BH1" s="2030"/>
      <c r="BI1" s="2030"/>
      <c r="BJ1" s="2030"/>
      <c r="BK1" s="2030"/>
      <c r="BL1" s="2030"/>
      <c r="BM1" s="2030"/>
      <c r="BN1" s="2030"/>
      <c r="BO1" s="2030"/>
      <c r="BP1" s="2030"/>
      <c r="BQ1" s="2030"/>
      <c r="BR1" s="2030"/>
      <c r="BS1" s="2030"/>
      <c r="BT1" s="2030"/>
    </row>
    <row r="2" spans="1:72" s="2165" customFormat="1" ht="24">
      <c r="A2" s="11" t="s">
        <v>1867</v>
      </c>
      <c r="B2" s="11" t="s">
        <v>1868</v>
      </c>
      <c r="C2" s="11" t="s">
        <v>1869</v>
      </c>
      <c r="D2" s="2162"/>
      <c r="E2" s="2163"/>
      <c r="F2" s="2164"/>
      <c r="G2" s="2162"/>
      <c r="H2" s="2162"/>
      <c r="I2" s="2162"/>
      <c r="J2" s="2162"/>
      <c r="K2" s="2162"/>
      <c r="L2" s="2162"/>
      <c r="M2" s="2162"/>
      <c r="N2" s="2162"/>
      <c r="O2" s="2162"/>
      <c r="P2" s="2162"/>
      <c r="Q2" s="2162"/>
      <c r="R2" s="2162"/>
      <c r="S2" s="2162"/>
      <c r="T2" s="2162"/>
      <c r="U2" s="2162"/>
      <c r="V2" s="2162"/>
      <c r="W2" s="2162"/>
      <c r="X2" s="2162"/>
      <c r="Y2" s="2162"/>
      <c r="Z2" s="2162"/>
      <c r="AA2" s="2162"/>
      <c r="AB2" s="2162"/>
      <c r="AC2" s="2162"/>
      <c r="AD2" s="2162"/>
      <c r="AE2" s="2162"/>
      <c r="AF2" s="2162"/>
      <c r="AG2" s="2162"/>
      <c r="AH2" s="2162"/>
      <c r="AI2" s="2162"/>
      <c r="AJ2" s="2162"/>
      <c r="AK2" s="2162"/>
      <c r="AL2" s="2162"/>
      <c r="AM2" s="2162"/>
      <c r="AN2" s="2162"/>
      <c r="AO2" s="2162"/>
      <c r="AP2" s="2162"/>
      <c r="AQ2" s="2162"/>
      <c r="AR2" s="2162"/>
      <c r="AS2" s="2162"/>
      <c r="AT2" s="2162"/>
      <c r="AU2" s="2162"/>
      <c r="AV2" s="2162"/>
      <c r="AW2" s="2162"/>
      <c r="AX2" s="2162"/>
      <c r="AY2" s="1269" t="s">
        <v>1870</v>
      </c>
      <c r="AZ2" s="1270" t="s">
        <v>1871</v>
      </c>
      <c r="BA2" s="11" t="s">
        <v>1872</v>
      </c>
      <c r="BB2" s="2162"/>
      <c r="BC2" s="2162"/>
      <c r="BD2" s="2162"/>
      <c r="BE2" s="2162"/>
      <c r="BF2" s="2162"/>
      <c r="BG2" s="2162"/>
      <c r="BH2" s="2162"/>
      <c r="BI2" s="2162"/>
      <c r="BJ2" s="2162"/>
      <c r="BK2" s="2162"/>
      <c r="BL2" s="2162"/>
      <c r="BM2" s="2162"/>
      <c r="BN2" s="2162"/>
      <c r="BO2" s="2162"/>
      <c r="BP2" s="2162"/>
      <c r="BQ2" s="2162"/>
      <c r="BR2" s="2162"/>
      <c r="BS2" s="2162"/>
      <c r="BT2" s="2162"/>
    </row>
    <row r="3" spans="1:72" s="2165" customFormat="1" ht="12.75">
      <c r="A3" s="13">
        <f>B3/198417.53*52647.78</f>
        <v>35166.875581238186</v>
      </c>
      <c r="B3" s="14">
        <f>IF(C3="否",G5-AT5,G5)</f>
        <v>132535.96999999991</v>
      </c>
      <c r="C3" s="2166" t="s">
        <v>3145</v>
      </c>
      <c r="D3" s="2162"/>
      <c r="E3" s="2162"/>
      <c r="F3" s="2162"/>
      <c r="G3" s="2162"/>
      <c r="H3" s="2162"/>
      <c r="I3" s="2162"/>
      <c r="J3" s="2162"/>
      <c r="K3" s="2162"/>
      <c r="L3" s="2162"/>
      <c r="M3" s="2162"/>
      <c r="N3" s="2162"/>
      <c r="O3" s="2162"/>
      <c r="P3" s="2162"/>
      <c r="Q3" s="2162"/>
      <c r="R3" s="2162"/>
      <c r="S3" s="2162"/>
      <c r="T3" s="2162"/>
      <c r="U3" s="2162"/>
      <c r="V3" s="2162"/>
      <c r="W3" s="2162"/>
      <c r="X3" s="2162"/>
      <c r="Y3" s="2162"/>
      <c r="Z3" s="2162"/>
      <c r="AA3" s="2162"/>
      <c r="AB3" s="2162"/>
      <c r="AC3" s="2162"/>
      <c r="AD3" s="2162"/>
      <c r="AE3" s="2162"/>
      <c r="AF3" s="2162"/>
      <c r="AG3" s="2162"/>
      <c r="AH3" s="2162"/>
      <c r="AI3" s="2162"/>
      <c r="AJ3" s="2162"/>
      <c r="AK3" s="2162"/>
      <c r="AL3" s="2162"/>
      <c r="AM3" s="2162"/>
      <c r="AN3" s="2162"/>
      <c r="AO3" s="2162"/>
      <c r="AP3" s="2162"/>
      <c r="AQ3" s="2162"/>
      <c r="AR3" s="2162"/>
      <c r="AS3" s="2162"/>
      <c r="AT3" s="2162"/>
      <c r="AU3" s="2162"/>
      <c r="AV3" s="2162"/>
      <c r="AW3" s="2162"/>
      <c r="AX3" s="2162"/>
      <c r="AY3" s="1271"/>
      <c r="AZ3" s="1272"/>
      <c r="BA3" s="1273"/>
      <c r="BB3" s="2162"/>
      <c r="BC3" s="2162"/>
      <c r="BD3" s="2162"/>
      <c r="BE3" s="2162"/>
      <c r="BF3" s="2162"/>
      <c r="BG3" s="2162"/>
      <c r="BH3" s="2162"/>
      <c r="BI3" s="2162"/>
      <c r="BJ3" s="2162"/>
      <c r="BK3" s="2162"/>
      <c r="BL3" s="2162"/>
      <c r="BM3" s="2162"/>
      <c r="BN3" s="2162"/>
      <c r="BO3" s="2162"/>
      <c r="BP3" s="2162"/>
      <c r="BQ3" s="2162"/>
      <c r="BR3" s="2162"/>
      <c r="BS3" s="2162"/>
      <c r="BT3" s="2162"/>
    </row>
    <row r="4" spans="1:72" s="2171" customFormat="1" ht="13.5" thickBot="1">
      <c r="A4" s="2167"/>
      <c r="B4" s="2168"/>
      <c r="C4" s="2169"/>
      <c r="D4" s="2162"/>
      <c r="E4" s="2162"/>
      <c r="F4" s="2162"/>
      <c r="G4" s="2162"/>
      <c r="H4" s="2162"/>
      <c r="I4" s="2162"/>
      <c r="J4" s="2162"/>
      <c r="K4" s="2162"/>
      <c r="L4" s="2162"/>
      <c r="M4" s="2162"/>
      <c r="N4" s="2162"/>
      <c r="O4" s="2162"/>
      <c r="P4" s="2162"/>
      <c r="Q4" s="2162"/>
      <c r="R4" s="2162"/>
      <c r="S4" s="2162"/>
      <c r="T4" s="2162"/>
      <c r="U4" s="2162"/>
      <c r="V4" s="2162"/>
      <c r="W4" s="2162"/>
      <c r="X4" s="2162"/>
      <c r="Y4" s="2162"/>
      <c r="Z4" s="2162"/>
      <c r="AA4" s="2162"/>
      <c r="AB4" s="2162"/>
      <c r="AC4" s="2162"/>
      <c r="AD4" s="2162"/>
      <c r="AE4" s="2162"/>
      <c r="AF4" s="2162"/>
      <c r="AG4" s="2162"/>
      <c r="AH4" s="2162"/>
      <c r="AI4" s="2162"/>
      <c r="AJ4" s="2162"/>
      <c r="AK4" s="2162"/>
      <c r="AL4" s="2162"/>
      <c r="AM4" s="2162"/>
      <c r="AN4" s="2162"/>
      <c r="AO4" s="2162"/>
      <c r="AP4" s="2162"/>
      <c r="AQ4" s="2162"/>
      <c r="AR4" s="2162"/>
      <c r="AS4" s="2162"/>
      <c r="AT4" s="2162"/>
      <c r="AU4" s="2162"/>
      <c r="AV4" s="2162"/>
      <c r="AW4" s="2162"/>
      <c r="AX4" s="2162"/>
      <c r="AY4" s="2162"/>
      <c r="AZ4" s="2162"/>
      <c r="BA4" s="2170"/>
      <c r="BB4" s="2162"/>
      <c r="BC4" s="2162"/>
      <c r="BD4" s="2162"/>
      <c r="BE4" s="2162"/>
      <c r="BF4" s="2162"/>
      <c r="BG4" s="2162"/>
      <c r="BH4" s="2162"/>
      <c r="BI4" s="2162"/>
      <c r="BJ4" s="2162"/>
      <c r="BK4" s="2162"/>
      <c r="BL4" s="2162"/>
      <c r="BM4" s="2162"/>
      <c r="BN4" s="2162"/>
      <c r="BO4" s="2162"/>
      <c r="BP4" s="2162"/>
      <c r="BQ4" s="2162"/>
      <c r="BR4" s="2162"/>
      <c r="BS4" s="2162"/>
      <c r="BT4" s="2162"/>
    </row>
    <row r="5" spans="1:72" s="2165" customFormat="1" ht="12.75">
      <c r="A5" s="15" t="s">
        <v>1873</v>
      </c>
      <c r="B5" s="1803"/>
      <c r="C5" s="2931"/>
      <c r="D5" s="1806"/>
      <c r="E5" s="16" t="s">
        <v>1</v>
      </c>
      <c r="F5" s="16">
        <f>SUM(F13:F587)</f>
        <v>0</v>
      </c>
      <c r="G5" s="16">
        <f>SUM(G13:G587)</f>
        <v>132535.96999999991</v>
      </c>
      <c r="H5" s="16">
        <f t="shared" ref="H5:AT5" si="0">SUM(H13:H656)</f>
        <v>113718.12999999995</v>
      </c>
      <c r="I5" s="16">
        <f t="shared" si="0"/>
        <v>40115.939999999995</v>
      </c>
      <c r="J5" s="16">
        <f t="shared" si="0"/>
        <v>0</v>
      </c>
      <c r="K5" s="16">
        <f t="shared" si="0"/>
        <v>37199.47</v>
      </c>
      <c r="L5" s="16">
        <f t="shared" si="0"/>
        <v>0</v>
      </c>
      <c r="M5" s="16">
        <f t="shared" si="0"/>
        <v>25201.510000000002</v>
      </c>
      <c r="N5" s="16">
        <f t="shared" si="0"/>
        <v>0</v>
      </c>
      <c r="O5" s="16">
        <f t="shared" si="0"/>
        <v>11201.209999999926</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3630.0299999999997</v>
      </c>
      <c r="AD5" s="16">
        <f t="shared" si="0"/>
        <v>416.67999999999995</v>
      </c>
      <c r="AE5" s="16">
        <f t="shared" si="0"/>
        <v>0</v>
      </c>
      <c r="AF5" s="16">
        <f t="shared" si="0"/>
        <v>259.64999999999998</v>
      </c>
      <c r="AG5" s="16">
        <f t="shared" si="0"/>
        <v>0</v>
      </c>
      <c r="AH5" s="16">
        <f t="shared" si="0"/>
        <v>0</v>
      </c>
      <c r="AI5" s="16">
        <f t="shared" si="0"/>
        <v>0</v>
      </c>
      <c r="AJ5" s="16">
        <f t="shared" si="0"/>
        <v>0</v>
      </c>
      <c r="AK5" s="16">
        <f t="shared" si="0"/>
        <v>0</v>
      </c>
      <c r="AL5" s="16">
        <f t="shared" si="0"/>
        <v>388.3</v>
      </c>
      <c r="AM5" s="16">
        <f t="shared" si="0"/>
        <v>0</v>
      </c>
      <c r="AN5" s="16">
        <f t="shared" si="0"/>
        <v>2565.4</v>
      </c>
      <c r="AO5" s="16">
        <f t="shared" si="0"/>
        <v>0</v>
      </c>
      <c r="AP5" s="16">
        <f t="shared" si="0"/>
        <v>0</v>
      </c>
      <c r="AQ5" s="16">
        <f t="shared" si="0"/>
        <v>0</v>
      </c>
      <c r="AR5" s="16">
        <f t="shared" si="0"/>
        <v>0</v>
      </c>
      <c r="AS5" s="16">
        <f t="shared" si="0"/>
        <v>0</v>
      </c>
      <c r="AT5" s="16">
        <f t="shared" si="0"/>
        <v>15187.81</v>
      </c>
      <c r="AU5" s="1802"/>
      <c r="AV5" s="15" t="s">
        <v>1873</v>
      </c>
      <c r="AW5" s="1803"/>
      <c r="AX5" s="1803"/>
      <c r="AY5" s="17" t="s">
        <v>3</v>
      </c>
      <c r="AZ5" s="18">
        <f t="shared" ref="AZ5:BT5" si="1">SUM(AZ13:AZ656)</f>
        <v>117348.15999999993</v>
      </c>
      <c r="BA5" s="18">
        <f t="shared" si="1"/>
        <v>113718.12999999995</v>
      </c>
      <c r="BB5" s="18">
        <f t="shared" si="1"/>
        <v>40115.939999999995</v>
      </c>
      <c r="BC5" s="18">
        <f t="shared" si="1"/>
        <v>37199.47</v>
      </c>
      <c r="BD5" s="18">
        <f t="shared" si="1"/>
        <v>25201.510000000002</v>
      </c>
      <c r="BE5" s="18">
        <f t="shared" si="1"/>
        <v>11201.209999999926</v>
      </c>
      <c r="BF5" s="18">
        <f t="shared" si="1"/>
        <v>0</v>
      </c>
      <c r="BG5" s="18">
        <f t="shared" si="1"/>
        <v>0</v>
      </c>
      <c r="BH5" s="18">
        <f t="shared" si="1"/>
        <v>0</v>
      </c>
      <c r="BI5" s="18">
        <f t="shared" si="1"/>
        <v>0</v>
      </c>
      <c r="BJ5" s="18">
        <f t="shared" si="1"/>
        <v>0</v>
      </c>
      <c r="BK5" s="18">
        <f t="shared" si="1"/>
        <v>0</v>
      </c>
      <c r="BL5" s="18">
        <f t="shared" si="1"/>
        <v>3630.0299999999997</v>
      </c>
      <c r="BM5" s="18">
        <f t="shared" si="1"/>
        <v>416.67999999999995</v>
      </c>
      <c r="BN5" s="18">
        <f t="shared" si="1"/>
        <v>259.64999999999998</v>
      </c>
      <c r="BO5" s="18">
        <f t="shared" si="1"/>
        <v>0</v>
      </c>
      <c r="BP5" s="18">
        <f t="shared" si="1"/>
        <v>0</v>
      </c>
      <c r="BQ5" s="18">
        <f t="shared" si="1"/>
        <v>388.3</v>
      </c>
      <c r="BR5" s="18">
        <f t="shared" si="1"/>
        <v>2565.4</v>
      </c>
      <c r="BS5" s="18">
        <f t="shared" si="1"/>
        <v>0</v>
      </c>
      <c r="BT5" s="19">
        <f t="shared" si="1"/>
        <v>0</v>
      </c>
    </row>
    <row r="6" spans="1:72" s="2175" customFormat="1" ht="12.75">
      <c r="A6" s="15" t="s">
        <v>1874</v>
      </c>
      <c r="B6" s="2172"/>
      <c r="C6" s="2172"/>
      <c r="D6" s="2173"/>
      <c r="E6" s="16">
        <f>H6+AC6+AT6</f>
        <v>35166.89</v>
      </c>
      <c r="F6" s="16" t="s">
        <v>1</v>
      </c>
      <c r="G6" s="16" t="s">
        <v>2</v>
      </c>
      <c r="H6" s="20">
        <f>SUMIF(I$12:AB$12,"总值",I6:AB6)</f>
        <v>30173.79</v>
      </c>
      <c r="I6" s="16">
        <f t="shared" ref="I6:AB6" si="2">ROUND($A$3*I5/$B$3,2)</f>
        <v>10644.3</v>
      </c>
      <c r="J6" s="16">
        <f t="shared" si="2"/>
        <v>0</v>
      </c>
      <c r="K6" s="16">
        <f t="shared" si="2"/>
        <v>9870.4500000000007</v>
      </c>
      <c r="L6" s="16">
        <f t="shared" si="2"/>
        <v>0</v>
      </c>
      <c r="M6" s="16">
        <f t="shared" si="2"/>
        <v>6686.93</v>
      </c>
      <c r="N6" s="16">
        <f t="shared" si="2"/>
        <v>0</v>
      </c>
      <c r="O6" s="16">
        <f t="shared" si="2"/>
        <v>2972.11</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963.19</v>
      </c>
      <c r="AD6" s="16">
        <f t="shared" ref="AD6:AS6" si="3">ROUND($A$3*AD5/$B$3,2)</f>
        <v>110.56</v>
      </c>
      <c r="AE6" s="16">
        <f t="shared" si="3"/>
        <v>0</v>
      </c>
      <c r="AF6" s="16">
        <f t="shared" si="3"/>
        <v>68.900000000000006</v>
      </c>
      <c r="AG6" s="16">
        <f t="shared" si="3"/>
        <v>0</v>
      </c>
      <c r="AH6" s="16">
        <f t="shared" si="3"/>
        <v>0</v>
      </c>
      <c r="AI6" s="16">
        <f t="shared" si="3"/>
        <v>0</v>
      </c>
      <c r="AJ6" s="16">
        <f t="shared" si="3"/>
        <v>0</v>
      </c>
      <c r="AK6" s="16">
        <f t="shared" si="3"/>
        <v>0</v>
      </c>
      <c r="AL6" s="16">
        <f t="shared" si="3"/>
        <v>103.03</v>
      </c>
      <c r="AM6" s="16">
        <f t="shared" si="3"/>
        <v>0</v>
      </c>
      <c r="AN6" s="16">
        <f t="shared" si="3"/>
        <v>680.7</v>
      </c>
      <c r="AO6" s="16">
        <f t="shared" si="3"/>
        <v>0</v>
      </c>
      <c r="AP6" s="16">
        <f t="shared" si="3"/>
        <v>0</v>
      </c>
      <c r="AQ6" s="16">
        <f t="shared" si="3"/>
        <v>0</v>
      </c>
      <c r="AR6" s="16">
        <f t="shared" si="3"/>
        <v>0</v>
      </c>
      <c r="AS6" s="16">
        <f t="shared" si="3"/>
        <v>0</v>
      </c>
      <c r="AT6" s="20">
        <f>IF(C3="是",ROUND($A$3*AT5/$B$3,2),0)</f>
        <v>4029.91</v>
      </c>
      <c r="AU6" s="2174"/>
      <c r="AV6" s="15" t="s">
        <v>1874</v>
      </c>
      <c r="AW6" s="2172"/>
      <c r="AX6" s="2172"/>
      <c r="AY6" s="21">
        <f>IF(AY3&gt;0,AY3,ROUND($A$3*AZ5/$B$3,2))</f>
        <v>31136.97</v>
      </c>
      <c r="AZ6" s="16" t="s">
        <v>3</v>
      </c>
      <c r="BA6" s="16">
        <f>ROUND($AY$6*BA5/$AZ$5,2)</f>
        <v>30173.78</v>
      </c>
      <c r="BB6" s="16">
        <f>ROUND($AY$6*BB5/$AZ$5,2)</f>
        <v>10644.3</v>
      </c>
      <c r="BC6" s="16">
        <f t="shared" ref="BC6:BH6" si="4">ROUND($AY$6*BC5/$AZ$5,2)</f>
        <v>9870.4500000000007</v>
      </c>
      <c r="BD6" s="16">
        <f t="shared" si="4"/>
        <v>6686.93</v>
      </c>
      <c r="BE6" s="16">
        <f t="shared" si="4"/>
        <v>2972.11</v>
      </c>
      <c r="BF6" s="16">
        <f t="shared" si="4"/>
        <v>0</v>
      </c>
      <c r="BG6" s="16">
        <f t="shared" si="4"/>
        <v>0</v>
      </c>
      <c r="BH6" s="16">
        <f t="shared" si="4"/>
        <v>0</v>
      </c>
      <c r="BI6" s="16">
        <f t="shared" ref="BI6:BT6" si="5">ROUND($AY$6*BI5/$AZ$5,2)</f>
        <v>0</v>
      </c>
      <c r="BJ6" s="16">
        <f t="shared" si="5"/>
        <v>0</v>
      </c>
      <c r="BK6" s="16">
        <f t="shared" si="5"/>
        <v>0</v>
      </c>
      <c r="BL6" s="16">
        <f t="shared" si="5"/>
        <v>963.19</v>
      </c>
      <c r="BM6" s="16">
        <f t="shared" si="5"/>
        <v>110.56</v>
      </c>
      <c r="BN6" s="16">
        <f t="shared" si="5"/>
        <v>68.900000000000006</v>
      </c>
      <c r="BO6" s="16">
        <f t="shared" si="5"/>
        <v>0</v>
      </c>
      <c r="BP6" s="16">
        <f t="shared" si="5"/>
        <v>0</v>
      </c>
      <c r="BQ6" s="16">
        <f t="shared" si="5"/>
        <v>103.03</v>
      </c>
      <c r="BR6" s="16">
        <f t="shared" si="5"/>
        <v>680.7</v>
      </c>
      <c r="BS6" s="16">
        <f t="shared" si="5"/>
        <v>0</v>
      </c>
      <c r="BT6" s="22">
        <f t="shared" si="5"/>
        <v>0</v>
      </c>
    </row>
    <row r="7" spans="1:72" s="2165" customFormat="1" ht="24.75">
      <c r="A7" s="2107" t="s">
        <v>1875</v>
      </c>
      <c r="B7" s="2107" t="s">
        <v>1876</v>
      </c>
      <c r="C7" s="2923" t="s">
        <v>1877</v>
      </c>
      <c r="D7" s="2107" t="s">
        <v>1878</v>
      </c>
      <c r="E7" s="2107" t="s">
        <v>1879</v>
      </c>
      <c r="F7" s="2107" t="s">
        <v>1880</v>
      </c>
      <c r="G7" s="2176" t="s">
        <v>1881</v>
      </c>
      <c r="H7" s="2177"/>
      <c r="I7" s="2177"/>
      <c r="J7" s="2177"/>
      <c r="K7" s="2177"/>
      <c r="L7" s="2177"/>
      <c r="M7" s="2177"/>
      <c r="N7" s="2177"/>
      <c r="O7" s="2177"/>
      <c r="P7" s="2177"/>
      <c r="Q7" s="2177"/>
      <c r="R7" s="2177"/>
      <c r="S7" s="2177"/>
      <c r="T7" s="2177"/>
      <c r="U7" s="2177"/>
      <c r="V7" s="2177"/>
      <c r="W7" s="2177"/>
      <c r="X7" s="2177"/>
      <c r="Y7" s="2177"/>
      <c r="Z7" s="2177"/>
      <c r="AA7" s="2177"/>
      <c r="AB7" s="2177"/>
      <c r="AC7" s="2177"/>
      <c r="AD7" s="2177"/>
      <c r="AE7" s="2177"/>
      <c r="AF7" s="2177"/>
      <c r="AG7" s="2177"/>
      <c r="AH7" s="2177"/>
      <c r="AI7" s="2177"/>
      <c r="AJ7" s="2177"/>
      <c r="AK7" s="2177"/>
      <c r="AL7" s="2177"/>
      <c r="AM7" s="2177"/>
      <c r="AN7" s="2177"/>
      <c r="AO7" s="2177"/>
      <c r="AP7" s="2177"/>
      <c r="AQ7" s="2177"/>
      <c r="AR7" s="2177"/>
      <c r="AS7" s="2177"/>
      <c r="AT7" s="1806"/>
      <c r="AU7" s="2177" t="s">
        <v>1882</v>
      </c>
      <c r="AV7" s="23" t="s">
        <v>1883</v>
      </c>
      <c r="AW7" s="2164" t="s">
        <v>1884</v>
      </c>
      <c r="AX7" s="23" t="s">
        <v>1877</v>
      </c>
      <c r="AY7" s="1803" t="s">
        <v>1885</v>
      </c>
      <c r="AZ7" s="2178"/>
      <c r="BA7" s="2177"/>
      <c r="BB7" s="2177"/>
      <c r="BC7" s="2177"/>
      <c r="BD7" s="2177"/>
      <c r="BE7" s="2177"/>
      <c r="BF7" s="2177"/>
      <c r="BG7" s="2177"/>
      <c r="BH7" s="2177"/>
      <c r="BI7" s="2177"/>
      <c r="BJ7" s="2177"/>
      <c r="BK7" s="2177"/>
      <c r="BL7" s="2177"/>
      <c r="BM7" s="2177"/>
      <c r="BN7" s="2177"/>
      <c r="BO7" s="2177"/>
      <c r="BP7" s="2177"/>
      <c r="BQ7" s="2177"/>
      <c r="BR7" s="2177"/>
      <c r="BS7" s="2177"/>
      <c r="BT7" s="2179"/>
    </row>
    <row r="8" spans="1:72" s="2187" customFormat="1" ht="24">
      <c r="A8" s="2180"/>
      <c r="B8" s="2180"/>
      <c r="C8" s="2180"/>
      <c r="D8" s="2180"/>
      <c r="E8" s="2180"/>
      <c r="F8" s="2180"/>
      <c r="G8" s="2181" t="s">
        <v>1886</v>
      </c>
      <c r="H8" s="2182" t="s">
        <v>1887</v>
      </c>
      <c r="I8" s="2183"/>
      <c r="J8" s="1818"/>
      <c r="K8" s="1818"/>
      <c r="L8" s="1818"/>
      <c r="M8" s="1818"/>
      <c r="N8" s="1818"/>
      <c r="O8" s="1818"/>
      <c r="P8" s="1818"/>
      <c r="Q8" s="1818"/>
      <c r="R8" s="1818"/>
      <c r="S8" s="1818"/>
      <c r="T8" s="1818"/>
      <c r="U8" s="1818"/>
      <c r="V8" s="2184"/>
      <c r="W8" s="1818"/>
      <c r="X8" s="1818"/>
      <c r="Y8" s="1818"/>
      <c r="Z8" s="1818"/>
      <c r="AA8" s="2184"/>
      <c r="AB8" s="2185"/>
      <c r="AC8" s="981" t="s">
        <v>1888</v>
      </c>
      <c r="AD8" s="2186"/>
      <c r="AE8" s="2178"/>
      <c r="AF8" s="1818"/>
      <c r="AG8" s="1818"/>
      <c r="AH8" s="1818"/>
      <c r="AI8" s="1818"/>
      <c r="AJ8" s="1818"/>
      <c r="AK8" s="1818"/>
      <c r="AL8" s="1818"/>
      <c r="AM8" s="1818"/>
      <c r="AN8" s="1818"/>
      <c r="AO8" s="1818"/>
      <c r="AP8" s="1818"/>
      <c r="AQ8" s="1818"/>
      <c r="AR8" s="1818"/>
      <c r="AS8" s="1818"/>
      <c r="AT8" s="1292" t="s">
        <v>1889</v>
      </c>
      <c r="AU8" s="2180" t="s">
        <v>1890</v>
      </c>
      <c r="AV8" s="1292"/>
      <c r="AW8" s="2163"/>
      <c r="AX8" s="1292"/>
      <c r="AY8" s="2164" t="s">
        <v>1891</v>
      </c>
      <c r="AZ8" s="1817" t="s">
        <v>1892</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7" customFormat="1" ht="12.75">
      <c r="A9" s="2180"/>
      <c r="B9" s="2180"/>
      <c r="C9" s="2180"/>
      <c r="D9" s="2180"/>
      <c r="E9" s="2180"/>
      <c r="F9" s="2180"/>
      <c r="G9" s="1292"/>
      <c r="H9" s="2188" t="s">
        <v>1893</v>
      </c>
      <c r="I9" s="2189" t="s">
        <v>3150</v>
      </c>
      <c r="J9" s="981"/>
      <c r="K9" s="2189" t="s">
        <v>3153</v>
      </c>
      <c r="L9" s="981"/>
      <c r="M9" s="2189" t="s">
        <v>3153</v>
      </c>
      <c r="N9" s="981"/>
      <c r="O9" s="2189" t="s">
        <v>3150</v>
      </c>
      <c r="P9" s="981"/>
      <c r="Q9" s="2189"/>
      <c r="R9" s="981"/>
      <c r="S9" s="2189"/>
      <c r="T9" s="981"/>
      <c r="U9" s="2189"/>
      <c r="V9" s="981"/>
      <c r="W9" s="2189"/>
      <c r="X9" s="2190"/>
      <c r="Y9" s="2189"/>
      <c r="Z9" s="981"/>
      <c r="AA9" s="2189"/>
      <c r="AB9" s="981"/>
      <c r="AC9" s="2181" t="s">
        <v>1893</v>
      </c>
      <c r="AD9" s="15" t="s">
        <v>1894</v>
      </c>
      <c r="AE9" s="1298"/>
      <c r="AF9" s="15" t="s">
        <v>1895</v>
      </c>
      <c r="AG9" s="1298"/>
      <c r="AH9" s="15" t="s">
        <v>1894</v>
      </c>
      <c r="AI9" s="1298"/>
      <c r="AJ9" s="15" t="s">
        <v>1895</v>
      </c>
      <c r="AK9" s="1298"/>
      <c r="AL9" s="15" t="s">
        <v>1894</v>
      </c>
      <c r="AM9" s="1298"/>
      <c r="AN9" s="15" t="s">
        <v>1895</v>
      </c>
      <c r="AO9" s="1298"/>
      <c r="AP9" s="15" t="s">
        <v>1894</v>
      </c>
      <c r="AQ9" s="1298"/>
      <c r="AR9" s="15" t="s">
        <v>1895</v>
      </c>
      <c r="AS9" s="2191"/>
      <c r="AT9" s="2180"/>
      <c r="AU9" s="2180" t="s">
        <v>1896</v>
      </c>
      <c r="AV9" s="1292"/>
      <c r="AW9" s="2163"/>
      <c r="AX9" s="1292"/>
      <c r="AY9" s="28"/>
      <c r="AZ9" s="28" t="s">
        <v>1886</v>
      </c>
      <c r="BA9" s="2192" t="s">
        <v>1897</v>
      </c>
      <c r="BB9" s="2193"/>
      <c r="BC9" s="1338"/>
      <c r="BD9" s="1338"/>
      <c r="BE9" s="1338"/>
      <c r="BF9" s="1338"/>
      <c r="BG9" s="1338"/>
      <c r="BH9" s="1338"/>
      <c r="BI9" s="1338"/>
      <c r="BJ9" s="1338"/>
      <c r="BK9" s="2194"/>
      <c r="BL9" s="15" t="s">
        <v>1898</v>
      </c>
      <c r="BM9" s="1818"/>
      <c r="BN9" s="2183"/>
      <c r="BO9" s="1818"/>
      <c r="BP9" s="1818"/>
      <c r="BQ9" s="1818"/>
      <c r="BR9" s="1818"/>
      <c r="BS9" s="1818"/>
      <c r="BT9" s="26"/>
    </row>
    <row r="10" spans="1:72" s="2187" customFormat="1" ht="12.75">
      <c r="A10" s="2180"/>
      <c r="B10" s="2180"/>
      <c r="C10" s="2180"/>
      <c r="D10" s="2180"/>
      <c r="E10" s="2180"/>
      <c r="F10" s="2180"/>
      <c r="G10" s="1292"/>
      <c r="H10" s="28"/>
      <c r="I10" s="2189" t="s">
        <v>3151</v>
      </c>
      <c r="J10" s="981"/>
      <c r="K10" s="2195" t="s">
        <v>3154</v>
      </c>
      <c r="L10" s="981"/>
      <c r="M10" s="2195" t="s">
        <v>3156</v>
      </c>
      <c r="N10" s="981"/>
      <c r="O10" s="2195" t="s">
        <v>3151</v>
      </c>
      <c r="P10" s="981"/>
      <c r="Q10" s="2195"/>
      <c r="R10" s="981"/>
      <c r="S10" s="2195"/>
      <c r="T10" s="981"/>
      <c r="U10" s="2195"/>
      <c r="V10" s="981"/>
      <c r="W10" s="2195"/>
      <c r="X10" s="981"/>
      <c r="Y10" s="2195"/>
      <c r="Z10" s="981"/>
      <c r="AA10" s="2195"/>
      <c r="AB10" s="981"/>
      <c r="AC10" s="1292"/>
      <c r="AD10" s="15" t="s">
        <v>1899</v>
      </c>
      <c r="AE10" s="2196"/>
      <c r="AF10" s="15" t="s">
        <v>1899</v>
      </c>
      <c r="AG10" s="2196"/>
      <c r="AH10" s="15" t="s">
        <v>1900</v>
      </c>
      <c r="AI10" s="2196"/>
      <c r="AJ10" s="15" t="s">
        <v>1900</v>
      </c>
      <c r="AK10" s="2196"/>
      <c r="AL10" s="15" t="s">
        <v>1901</v>
      </c>
      <c r="AM10" s="1298"/>
      <c r="AN10" s="15" t="s">
        <v>1901</v>
      </c>
      <c r="AO10" s="1298"/>
      <c r="AP10" s="15" t="s">
        <v>1902</v>
      </c>
      <c r="AQ10" s="1298"/>
      <c r="AR10" s="15" t="s">
        <v>1902</v>
      </c>
      <c r="AS10" s="1298"/>
      <c r="AT10" s="2180"/>
      <c r="AU10" s="2180"/>
      <c r="AV10" s="1292"/>
      <c r="AW10" s="2163"/>
      <c r="AX10" s="1292"/>
      <c r="AY10" s="28"/>
      <c r="AZ10" s="28"/>
      <c r="BA10" s="2197" t="s">
        <v>1893</v>
      </c>
      <c r="BB10" s="2198" t="str">
        <f>I9</f>
        <v>地上</v>
      </c>
      <c r="BC10" s="29" t="str">
        <f>K9</f>
        <v>地下</v>
      </c>
      <c r="BD10" s="29" t="str">
        <f>M9</f>
        <v>地下</v>
      </c>
      <c r="BE10" s="29" t="str">
        <f>O9</f>
        <v>地上</v>
      </c>
      <c r="BF10" s="29">
        <f>Q9</f>
        <v>0</v>
      </c>
      <c r="BG10" s="29">
        <f>S9</f>
        <v>0</v>
      </c>
      <c r="BH10" s="29">
        <f>U9</f>
        <v>0</v>
      </c>
      <c r="BI10" s="29">
        <f>W9</f>
        <v>0</v>
      </c>
      <c r="BJ10" s="29">
        <f>Y9</f>
        <v>0</v>
      </c>
      <c r="BK10" s="29">
        <f>AA9</f>
        <v>0</v>
      </c>
      <c r="BL10" s="25" t="s">
        <v>1893</v>
      </c>
      <c r="BM10" s="1817" t="str">
        <f>AD9</f>
        <v>地上</v>
      </c>
      <c r="BN10" s="29" t="str">
        <f>AF9</f>
        <v>地下</v>
      </c>
      <c r="BO10" s="1817" t="str">
        <f>AH9</f>
        <v>地上</v>
      </c>
      <c r="BP10" s="29" t="str">
        <f>AJ9</f>
        <v>地下</v>
      </c>
      <c r="BQ10" s="1817" t="str">
        <f>AL9</f>
        <v>地上</v>
      </c>
      <c r="BR10" s="29" t="str">
        <f>AN9</f>
        <v>地下</v>
      </c>
      <c r="BS10" s="1817" t="str">
        <f>AP9</f>
        <v>地上</v>
      </c>
      <c r="BT10" s="2199" t="str">
        <f>AR9</f>
        <v>地下</v>
      </c>
    </row>
    <row r="11" spans="1:72" s="2187" customFormat="1" ht="12.75">
      <c r="A11" s="2180"/>
      <c r="B11" s="2180"/>
      <c r="C11" s="2180"/>
      <c r="D11" s="2180"/>
      <c r="E11" s="2180"/>
      <c r="F11" s="2180"/>
      <c r="G11" s="1292"/>
      <c r="H11" s="2197"/>
      <c r="I11" s="2200" t="s">
        <v>3152</v>
      </c>
      <c r="J11" s="2201"/>
      <c r="K11" s="2200"/>
      <c r="L11" s="2201"/>
      <c r="M11" s="2200"/>
      <c r="N11" s="2201"/>
      <c r="O11" s="2200" t="s">
        <v>35</v>
      </c>
      <c r="P11" s="2201"/>
      <c r="Q11" s="2200"/>
      <c r="R11" s="2201"/>
      <c r="S11" s="2200"/>
      <c r="T11" s="2201"/>
      <c r="U11" s="2200"/>
      <c r="V11" s="2201"/>
      <c r="W11" s="2200"/>
      <c r="X11" s="2201"/>
      <c r="Y11" s="2200"/>
      <c r="Z11" s="2201"/>
      <c r="AA11" s="2200"/>
      <c r="AB11" s="2201"/>
      <c r="AC11" s="1292"/>
      <c r="AD11" s="2202" t="s">
        <v>1903</v>
      </c>
      <c r="AE11" s="1819"/>
      <c r="AF11" s="2202" t="s">
        <v>1903</v>
      </c>
      <c r="AG11" s="1819"/>
      <c r="AH11" s="2202" t="s">
        <v>1904</v>
      </c>
      <c r="AI11" s="2203"/>
      <c r="AJ11" s="2202" t="s">
        <v>1904</v>
      </c>
      <c r="AK11" s="1819"/>
      <c r="AL11" s="1817"/>
      <c r="AM11" s="1819"/>
      <c r="AN11" s="1817"/>
      <c r="AO11" s="1819"/>
      <c r="AP11" s="1817"/>
      <c r="AQ11" s="1819"/>
      <c r="AR11" s="1817"/>
      <c r="AS11" s="1819"/>
      <c r="AT11" s="2163"/>
      <c r="AU11" s="2180"/>
      <c r="AV11" s="1292"/>
      <c r="AW11" s="2163"/>
      <c r="AX11" s="1292"/>
      <c r="AY11" s="28"/>
      <c r="AZ11" s="28"/>
      <c r="BA11" s="28"/>
      <c r="BB11" s="2185" t="str">
        <f>I10</f>
        <v>住宅</v>
      </c>
      <c r="BC11" s="2185" t="str">
        <f>K10</f>
        <v>仓储</v>
      </c>
      <c r="BD11" s="2185" t="str">
        <f>M10</f>
        <v>车库</v>
      </c>
      <c r="BE11" s="2185" t="str">
        <f>O10</f>
        <v>住宅</v>
      </c>
      <c r="BF11" s="2185">
        <f>Q10</f>
        <v>0</v>
      </c>
      <c r="BG11" s="2185">
        <f>S10</f>
        <v>0</v>
      </c>
      <c r="BH11" s="2185">
        <f>U10</f>
        <v>0</v>
      </c>
      <c r="BI11" s="2185">
        <f>W10</f>
        <v>0</v>
      </c>
      <c r="BJ11" s="2185">
        <f>Y10</f>
        <v>0</v>
      </c>
      <c r="BK11" s="2185">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4" t="str">
        <f>AR10</f>
        <v>未注明</v>
      </c>
    </row>
    <row r="12" spans="1:72" s="2165" customFormat="1" ht="12.75">
      <c r="A12" s="2205"/>
      <c r="B12" s="2205"/>
      <c r="C12" s="2205"/>
      <c r="D12" s="2205"/>
      <c r="E12" s="2205"/>
      <c r="F12" s="2205"/>
      <c r="G12" s="30"/>
      <c r="H12" s="2206"/>
      <c r="I12" s="1806"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802" t="s">
        <v>1906</v>
      </c>
      <c r="W12" s="11" t="s">
        <v>1905</v>
      </c>
      <c r="X12" s="11" t="s">
        <v>1906</v>
      </c>
      <c r="Y12" s="11" t="s">
        <v>1905</v>
      </c>
      <c r="Z12" s="11" t="s">
        <v>1906</v>
      </c>
      <c r="AA12" s="11" t="s">
        <v>1905</v>
      </c>
      <c r="AB12" s="11" t="s">
        <v>1906</v>
      </c>
      <c r="AC12" s="2207"/>
      <c r="AD12" s="1806"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30" t="s">
        <v>1905</v>
      </c>
      <c r="AS12" s="2205" t="s">
        <v>1906</v>
      </c>
      <c r="AT12" s="2208"/>
      <c r="AU12" s="2205"/>
      <c r="AV12" s="31"/>
      <c r="AW12" s="2164"/>
      <c r="AX12" s="31"/>
      <c r="AY12" s="2209"/>
      <c r="AZ12" s="28"/>
      <c r="BA12" s="2197"/>
      <c r="BB12" s="24" t="str">
        <f>I11</f>
        <v>叠拼</v>
      </c>
      <c r="BC12" s="2210">
        <f>K11</f>
        <v>0</v>
      </c>
      <c r="BD12" s="2210">
        <f>M11</f>
        <v>0</v>
      </c>
      <c r="BE12" s="2185" t="str">
        <f>O11</f>
        <v>限价商品房</v>
      </c>
      <c r="BF12" s="2185">
        <f>Q11</f>
        <v>0</v>
      </c>
      <c r="BG12" s="2185">
        <f>S11</f>
        <v>0</v>
      </c>
      <c r="BH12" s="2185">
        <f>U11</f>
        <v>0</v>
      </c>
      <c r="BI12" s="2185">
        <f>W11</f>
        <v>0</v>
      </c>
      <c r="BJ12" s="2185">
        <f>Y11</f>
        <v>0</v>
      </c>
      <c r="BK12" s="2185">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4">
        <f>AR11</f>
        <v>0</v>
      </c>
    </row>
    <row r="13" spans="1:72" s="2165" customFormat="1" ht="63.75">
      <c r="A13" s="2975" t="str">
        <f>项目基本情况!E18</f>
        <v>《不动产权证书》[京（2017）昌不动产权第0000006号]</v>
      </c>
      <c r="B13" s="1272" t="s">
        <v>3149</v>
      </c>
      <c r="C13" s="1272" t="str">
        <f>规证整理!B5</f>
        <v>5#住宅楼</v>
      </c>
      <c r="D13" s="2211" t="s">
        <v>3145</v>
      </c>
      <c r="E13" s="16">
        <f>IF($C$3="是",ROUND($A$3*G13/$B$3,2),ROUND($A$3*(G13-AT13)/$B$3,2))</f>
        <v>815.46</v>
      </c>
      <c r="F13" s="32"/>
      <c r="G13" s="33">
        <f>H13+AC13+AT13</f>
        <v>3073.2999999999997</v>
      </c>
      <c r="H13" s="20">
        <f>SUMIF(I$12:AB$12,"总值",I13:AB13)</f>
        <v>3042.91</v>
      </c>
      <c r="I13" s="2212">
        <f>规证整理!G5-[1]商品房!$J$18</f>
        <v>1650.87</v>
      </c>
      <c r="J13" s="2212"/>
      <c r="K13" s="2212">
        <f>规证整理!H5-[1]商品房!$K$18</f>
        <v>1392.0400000000002</v>
      </c>
      <c r="L13" s="2212"/>
      <c r="M13" s="2212"/>
      <c r="N13" s="2212"/>
      <c r="O13" s="2212"/>
      <c r="P13" s="2212"/>
      <c r="Q13" s="2212"/>
      <c r="R13" s="2212"/>
      <c r="S13" s="2212"/>
      <c r="T13" s="2212"/>
      <c r="U13" s="2212"/>
      <c r="V13" s="2212"/>
      <c r="W13" s="2212"/>
      <c r="X13" s="2212"/>
      <c r="Y13" s="2212"/>
      <c r="Z13" s="2212"/>
      <c r="AA13" s="2212"/>
      <c r="AB13" s="2212"/>
      <c r="AC13" s="16">
        <f>SUMIF(AD$12:AS$12,"总值",AD13:AS13)</f>
        <v>30.39</v>
      </c>
      <c r="AD13" s="2213"/>
      <c r="AE13" s="2213"/>
      <c r="AF13" s="2213"/>
      <c r="AG13" s="2213"/>
      <c r="AH13" s="2213"/>
      <c r="AI13" s="2213"/>
      <c r="AJ13" s="2213"/>
      <c r="AK13" s="2213"/>
      <c r="AL13" s="2213"/>
      <c r="AM13" s="2213"/>
      <c r="AN13" s="2213">
        <f>规证整理!I5</f>
        <v>30.39</v>
      </c>
      <c r="AO13" s="2213"/>
      <c r="AP13" s="2213"/>
      <c r="AQ13" s="2213"/>
      <c r="AR13" s="2213"/>
      <c r="AS13" s="2213"/>
      <c r="AT13" s="2214"/>
      <c r="AU13" s="2215"/>
      <c r="AV13" s="11" t="str">
        <f t="shared" ref="AV13:AX17" si="6">A13</f>
        <v>《不动产权证书》[京（2017）昌不动产权第0000006号]</v>
      </c>
      <c r="AW13" s="11" t="str">
        <f t="shared" si="6"/>
        <v>《工程规划许可证》证号：建字第110114201600094号</v>
      </c>
      <c r="AX13" s="11" t="str">
        <f t="shared" si="6"/>
        <v>5#住宅楼</v>
      </c>
      <c r="AY13" s="1806">
        <f>ROUND($AY$6*AZ13/$AZ$5,2)</f>
        <v>815.46</v>
      </c>
      <c r="AZ13" s="16">
        <f>BA13+BL13</f>
        <v>3073.2999999999997</v>
      </c>
      <c r="BA13" s="16">
        <f>SUM(BB13:BK13)</f>
        <v>3042.91</v>
      </c>
      <c r="BB13" s="16">
        <f>IF($D13="是",I13-J13,0)</f>
        <v>1650.87</v>
      </c>
      <c r="BC13" s="16">
        <f>IF($D13="是",K13-L13,0)</f>
        <v>1392.0400000000002</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30.39</v>
      </c>
      <c r="BM13" s="16">
        <f>IF($D13="是",AD13-AE13,0)</f>
        <v>0</v>
      </c>
      <c r="BN13" s="16">
        <f>IF($D13="是",AF13-AG13,0)</f>
        <v>0</v>
      </c>
      <c r="BO13" s="16">
        <f>IF($D13="是",AH13-AI13,0)</f>
        <v>0</v>
      </c>
      <c r="BP13" s="16">
        <f>IF($D13="是",AJ13-AK13,0)</f>
        <v>0</v>
      </c>
      <c r="BQ13" s="16">
        <f>IF($D13="是",AL13-AM13,0)</f>
        <v>0</v>
      </c>
      <c r="BR13" s="16">
        <f>IF($D13="是",AN13-AO13,0)</f>
        <v>30.39</v>
      </c>
      <c r="BS13" s="16">
        <f>IF($D13="是",AP13-AQ13,0)</f>
        <v>0</v>
      </c>
      <c r="BT13" s="22">
        <f>IF($D13="是",AR13-AS13,0)</f>
        <v>0</v>
      </c>
    </row>
    <row r="14" spans="1:72" s="2165" customFormat="1" ht="12.75">
      <c r="A14" s="1272"/>
      <c r="B14" s="1272"/>
      <c r="C14" s="1272" t="str">
        <f>规证整理!B6</f>
        <v>8#住宅楼</v>
      </c>
      <c r="D14" s="2211" t="s">
        <v>3145</v>
      </c>
      <c r="E14" s="16">
        <f>IF($C$3="是",ROUND($A$3*G14/$B$3,2),ROUND($A$3*(G14-AT14)/$B$3,2))</f>
        <v>1029.03</v>
      </c>
      <c r="F14" s="32"/>
      <c r="G14" s="33">
        <f>H14+AC14+AT14</f>
        <v>3878.19</v>
      </c>
      <c r="H14" s="20">
        <f>SUMIF(I$12:AB$12,"总值",I14:AB14)</f>
        <v>3855.32</v>
      </c>
      <c r="I14" s="2212">
        <f>规证整理!G6-[1]商品房!$J$19</f>
        <v>1982.65</v>
      </c>
      <c r="J14" s="2212"/>
      <c r="K14" s="2212">
        <f>规证整理!H6-[1]商品房!$K$19</f>
        <v>1872.67</v>
      </c>
      <c r="L14" s="2212"/>
      <c r="M14" s="2212"/>
      <c r="N14" s="2212"/>
      <c r="O14" s="2212"/>
      <c r="P14" s="2212"/>
      <c r="Q14" s="2212"/>
      <c r="R14" s="2212"/>
      <c r="S14" s="2212"/>
      <c r="T14" s="2212"/>
      <c r="U14" s="2212"/>
      <c r="V14" s="2212"/>
      <c r="W14" s="2212"/>
      <c r="X14" s="2212"/>
      <c r="Y14" s="2212"/>
      <c r="Z14" s="2212"/>
      <c r="AA14" s="2212"/>
      <c r="AB14" s="2212"/>
      <c r="AC14" s="16">
        <f>SUMIF(AD$12:AS$12,"总值",AD14:AS14)</f>
        <v>22.87</v>
      </c>
      <c r="AD14" s="2213"/>
      <c r="AE14" s="2213"/>
      <c r="AF14" s="2213"/>
      <c r="AG14" s="2213"/>
      <c r="AH14" s="2213"/>
      <c r="AI14" s="2213"/>
      <c r="AJ14" s="2213"/>
      <c r="AK14" s="2213"/>
      <c r="AL14" s="2213"/>
      <c r="AM14" s="2213"/>
      <c r="AN14" s="2213">
        <f>规证整理!I6</f>
        <v>22.87</v>
      </c>
      <c r="AO14" s="2213"/>
      <c r="AP14" s="2213"/>
      <c r="AQ14" s="2213"/>
      <c r="AR14" s="2213"/>
      <c r="AS14" s="2213"/>
      <c r="AT14" s="2214"/>
      <c r="AU14" s="2215"/>
      <c r="AV14" s="11">
        <f t="shared" si="6"/>
        <v>0</v>
      </c>
      <c r="AW14" s="11">
        <f t="shared" si="6"/>
        <v>0</v>
      </c>
      <c r="AX14" s="11" t="str">
        <f t="shared" si="6"/>
        <v>8#住宅楼</v>
      </c>
      <c r="AY14" s="1806">
        <f>ROUND($AY$6*AZ14/$AZ$5,2)</f>
        <v>1029.03</v>
      </c>
      <c r="AZ14" s="16">
        <f>BA14+BL14</f>
        <v>3878.19</v>
      </c>
      <c r="BA14" s="16">
        <f>SUM(BB14:BK14)</f>
        <v>3855.32</v>
      </c>
      <c r="BB14" s="16">
        <f>IF($D14="是",I14-J14,0)</f>
        <v>1982.65</v>
      </c>
      <c r="BC14" s="16">
        <f>IF($D14="是",K14-L14,0)</f>
        <v>1872.67</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22.87</v>
      </c>
      <c r="BM14" s="16">
        <f>IF($D14="是",AD14-AE14,0)</f>
        <v>0</v>
      </c>
      <c r="BN14" s="16">
        <f>IF($D14="是",AF14-AG14,0)</f>
        <v>0</v>
      </c>
      <c r="BO14" s="16">
        <f>IF($D14="是",AH14-AI14,0)</f>
        <v>0</v>
      </c>
      <c r="BP14" s="16">
        <f>IF($D14="是",AJ14-AK14,0)</f>
        <v>0</v>
      </c>
      <c r="BQ14" s="16">
        <f>IF($D14="是",AL14-AM14,0)</f>
        <v>0</v>
      </c>
      <c r="BR14" s="16">
        <f>IF($D14="是",AN14-AO14,0)</f>
        <v>22.87</v>
      </c>
      <c r="BS14" s="16">
        <f>IF($D14="是",AP14-AQ14,0)</f>
        <v>0</v>
      </c>
      <c r="BT14" s="22">
        <f>IF($D14="是",AR14-AS14,0)</f>
        <v>0</v>
      </c>
    </row>
    <row r="15" spans="1:72" s="2165" customFormat="1" ht="12.75">
      <c r="A15" s="1272"/>
      <c r="B15" s="1272"/>
      <c r="C15" s="1272" t="str">
        <f>规证整理!B7</f>
        <v>9#住宅楼</v>
      </c>
      <c r="D15" s="2211" t="s">
        <v>3145</v>
      </c>
      <c r="E15" s="16">
        <f>IF($C$3="是",ROUND($A$3*G15/$B$3,2),ROUND($A$3*(G15-AT15)/$B$3,2))</f>
        <v>496.29</v>
      </c>
      <c r="F15" s="32"/>
      <c r="G15" s="33">
        <f>H15+AC15+AT15</f>
        <v>1870.4100000000003</v>
      </c>
      <c r="H15" s="20">
        <f>SUMIF(I$12:AB$12,"总值",I15:AB15)</f>
        <v>1840.0200000000002</v>
      </c>
      <c r="I15" s="2212">
        <f>规证整理!G7-[1]商品房!$J$20</f>
        <v>1055.6100000000001</v>
      </c>
      <c r="J15" s="2212"/>
      <c r="K15" s="2212">
        <f>规证整理!H7-[1]商品房!$K$20</f>
        <v>784.41000000000008</v>
      </c>
      <c r="L15" s="2212"/>
      <c r="M15" s="2212"/>
      <c r="N15" s="2212"/>
      <c r="O15" s="2212"/>
      <c r="P15" s="2212"/>
      <c r="Q15" s="2212"/>
      <c r="R15" s="2212"/>
      <c r="S15" s="2212"/>
      <c r="T15" s="2212"/>
      <c r="U15" s="2212"/>
      <c r="V15" s="2212"/>
      <c r="W15" s="2212"/>
      <c r="X15" s="2212"/>
      <c r="Y15" s="2212"/>
      <c r="Z15" s="2212"/>
      <c r="AA15" s="2212"/>
      <c r="AB15" s="2212"/>
      <c r="AC15" s="16">
        <f>SUMIF(AD$12:AS$12,"总值",AD15:AS15)</f>
        <v>30.39</v>
      </c>
      <c r="AD15" s="2213"/>
      <c r="AE15" s="2213"/>
      <c r="AF15" s="2213"/>
      <c r="AG15" s="2213"/>
      <c r="AH15" s="2213"/>
      <c r="AI15" s="2213"/>
      <c r="AJ15" s="2213"/>
      <c r="AK15" s="2213"/>
      <c r="AL15" s="2213"/>
      <c r="AM15" s="2213"/>
      <c r="AN15" s="2213">
        <f>规证整理!I7</f>
        <v>30.39</v>
      </c>
      <c r="AO15" s="2213"/>
      <c r="AP15" s="2213"/>
      <c r="AQ15" s="2213"/>
      <c r="AR15" s="2213"/>
      <c r="AS15" s="2213"/>
      <c r="AT15" s="2214"/>
      <c r="AU15" s="2215"/>
      <c r="AV15" s="11">
        <f t="shared" si="6"/>
        <v>0</v>
      </c>
      <c r="AW15" s="11">
        <f t="shared" si="6"/>
        <v>0</v>
      </c>
      <c r="AX15" s="11" t="str">
        <f t="shared" si="6"/>
        <v>9#住宅楼</v>
      </c>
      <c r="AY15" s="1806">
        <f>ROUND($AY$6*AZ15/$AZ$5,2)</f>
        <v>496.29</v>
      </c>
      <c r="AZ15" s="16">
        <f>BA15+BL15</f>
        <v>1870.4100000000003</v>
      </c>
      <c r="BA15" s="16">
        <f>SUM(BB15:BK15)</f>
        <v>1840.0200000000002</v>
      </c>
      <c r="BB15" s="16">
        <f>IF($D15="是",I15-J15,0)</f>
        <v>1055.6100000000001</v>
      </c>
      <c r="BC15" s="16">
        <f>IF($D15="是",K15-L15,0)</f>
        <v>784.41000000000008</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30.39</v>
      </c>
      <c r="BM15" s="16">
        <f>IF($D15="是",AD15-AE15,0)</f>
        <v>0</v>
      </c>
      <c r="BN15" s="16">
        <f>IF($D15="是",AF15-AG15,0)</f>
        <v>0</v>
      </c>
      <c r="BO15" s="16">
        <f>IF($D15="是",AH15-AI15,0)</f>
        <v>0</v>
      </c>
      <c r="BP15" s="16">
        <f>IF($D15="是",AJ15-AK15,0)</f>
        <v>0</v>
      </c>
      <c r="BQ15" s="16">
        <f>IF($D15="是",AL15-AM15,0)</f>
        <v>0</v>
      </c>
      <c r="BR15" s="16">
        <f>IF($D15="是",AN15-AO15,0)</f>
        <v>30.39</v>
      </c>
      <c r="BS15" s="16">
        <f>IF($D15="是",AP15-AQ15,0)</f>
        <v>0</v>
      </c>
      <c r="BT15" s="22">
        <f>IF($D15="是",AR15-AS15,0)</f>
        <v>0</v>
      </c>
    </row>
    <row r="16" spans="1:72" s="2165" customFormat="1" ht="25.5">
      <c r="A16" s="1272"/>
      <c r="B16" s="1272"/>
      <c r="C16" s="1272" t="str">
        <f>规证整理!B9</f>
        <v>地下车库一期</v>
      </c>
      <c r="D16" s="2211" t="s">
        <v>3145</v>
      </c>
      <c r="E16" s="16">
        <f>IF($C$3="是",ROUND($A$3*G16/$B$3,2),ROUND($A$3*(G16-AT16)/$B$3,2))</f>
        <v>1174.42</v>
      </c>
      <c r="F16" s="32"/>
      <c r="G16" s="33">
        <f>H16+AC16+AT16</f>
        <v>4426.13</v>
      </c>
      <c r="H16" s="20">
        <f>SUMIF(I$12:AB$12,"总值",I16:AB16)</f>
        <v>4278.43</v>
      </c>
      <c r="I16" s="2212"/>
      <c r="J16" s="2212"/>
      <c r="K16" s="2212"/>
      <c r="L16" s="2212"/>
      <c r="M16" s="2212">
        <f>规证整理!J9</f>
        <v>4278.43</v>
      </c>
      <c r="N16" s="2212"/>
      <c r="O16" s="2212"/>
      <c r="P16" s="2212"/>
      <c r="Q16" s="2212"/>
      <c r="R16" s="2212"/>
      <c r="S16" s="2212"/>
      <c r="T16" s="2212"/>
      <c r="U16" s="2212"/>
      <c r="V16" s="2212"/>
      <c r="W16" s="2212"/>
      <c r="X16" s="2212"/>
      <c r="Y16" s="2212"/>
      <c r="Z16" s="2212"/>
      <c r="AA16" s="2212"/>
      <c r="AB16" s="2212"/>
      <c r="AC16" s="16">
        <f>SUMIF(AD$12:AS$12,"总值",AD16:AS16)</f>
        <v>0</v>
      </c>
      <c r="AD16" s="2213"/>
      <c r="AE16" s="2213"/>
      <c r="AF16" s="2213"/>
      <c r="AG16" s="2213"/>
      <c r="AH16" s="2213"/>
      <c r="AI16" s="2213"/>
      <c r="AJ16" s="2213"/>
      <c r="AK16" s="2213"/>
      <c r="AL16" s="2213"/>
      <c r="AM16" s="2213"/>
      <c r="AN16" s="2213"/>
      <c r="AO16" s="2213"/>
      <c r="AP16" s="2213"/>
      <c r="AQ16" s="2213"/>
      <c r="AR16" s="2213"/>
      <c r="AS16" s="2213"/>
      <c r="AT16" s="2214">
        <f>规证整理!K9</f>
        <v>147.69999999999999</v>
      </c>
      <c r="AU16" s="2215"/>
      <c r="AV16" s="11">
        <f t="shared" si="6"/>
        <v>0</v>
      </c>
      <c r="AW16" s="11">
        <f t="shared" si="6"/>
        <v>0</v>
      </c>
      <c r="AX16" s="11" t="str">
        <f t="shared" si="6"/>
        <v>地下车库一期</v>
      </c>
      <c r="AY16" s="1806">
        <f>ROUND($AY$6*AZ16/$AZ$5,2)</f>
        <v>1135.23</v>
      </c>
      <c r="AZ16" s="16">
        <f>BA16+BL16</f>
        <v>4278.43</v>
      </c>
      <c r="BA16" s="16">
        <f>SUM(BB16:BK16)</f>
        <v>4278.43</v>
      </c>
      <c r="BB16" s="16">
        <f>IF($D16="是",I16-J16,0)</f>
        <v>0</v>
      </c>
      <c r="BC16" s="16">
        <f>IF($D16="是",K16-L16,0)</f>
        <v>0</v>
      </c>
      <c r="BD16" s="16">
        <f>IF($D16="是",M16-N16,0)</f>
        <v>4278.43</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5" customFormat="1" ht="63.75">
      <c r="A17" s="1272"/>
      <c r="B17" s="1272" t="str">
        <f>规证整理!A13</f>
        <v>《工程规划许可证》证号：建字第110114201700008号</v>
      </c>
      <c r="C17" s="1272" t="str">
        <f>规证整理!B17</f>
        <v>3#住宅楼</v>
      </c>
      <c r="D17" s="2211" t="s">
        <v>3145</v>
      </c>
      <c r="E17" s="16">
        <f>IF($C$3="是",ROUND($A$3*G17/$B$3,2),ROUND($A$3*(G17-AT17)/$B$3,2))</f>
        <v>1308.27</v>
      </c>
      <c r="F17" s="32"/>
      <c r="G17" s="33">
        <f>H17+AC17+AT17</f>
        <v>4930.59</v>
      </c>
      <c r="H17" s="20">
        <f>SUMIF(I$12:AB$12,"总值",I17:AB17)</f>
        <v>4903.66</v>
      </c>
      <c r="I17" s="2212">
        <f>规证整理!G17</f>
        <v>3517.57</v>
      </c>
      <c r="J17" s="2212"/>
      <c r="K17" s="2212">
        <f>规证整理!H17</f>
        <v>1386.09</v>
      </c>
      <c r="L17" s="2212"/>
      <c r="M17" s="2212"/>
      <c r="N17" s="2212"/>
      <c r="O17" s="2212"/>
      <c r="P17" s="2212"/>
      <c r="Q17" s="2212"/>
      <c r="R17" s="2212"/>
      <c r="S17" s="2212"/>
      <c r="T17" s="2212"/>
      <c r="U17" s="2212"/>
      <c r="V17" s="2212"/>
      <c r="W17" s="2212"/>
      <c r="X17" s="2212"/>
      <c r="Y17" s="2212"/>
      <c r="Z17" s="2212"/>
      <c r="AA17" s="2212"/>
      <c r="AB17" s="2212"/>
      <c r="AC17" s="16">
        <f>SUMIF(AD$12:AS$12,"总值",AD17:AS17)</f>
        <v>26.93</v>
      </c>
      <c r="AD17" s="2213"/>
      <c r="AE17" s="2213"/>
      <c r="AF17" s="2213"/>
      <c r="AG17" s="2213"/>
      <c r="AH17" s="2213"/>
      <c r="AI17" s="2213"/>
      <c r="AJ17" s="2213"/>
      <c r="AK17" s="2213"/>
      <c r="AL17" s="2213"/>
      <c r="AM17" s="2213"/>
      <c r="AN17" s="2213">
        <f>规证整理!I17</f>
        <v>26.93</v>
      </c>
      <c r="AO17" s="2213"/>
      <c r="AP17" s="2213"/>
      <c r="AQ17" s="2213"/>
      <c r="AR17" s="2213"/>
      <c r="AS17" s="2213"/>
      <c r="AT17" s="2214"/>
      <c r="AU17" s="2215"/>
      <c r="AV17" s="11">
        <f t="shared" si="6"/>
        <v>0</v>
      </c>
      <c r="AW17" s="11" t="str">
        <f t="shared" si="6"/>
        <v>《工程规划许可证》证号：建字第110114201700008号</v>
      </c>
      <c r="AX17" s="11" t="str">
        <f t="shared" si="6"/>
        <v>3#住宅楼</v>
      </c>
      <c r="AY17" s="1806">
        <f>ROUND($AY$6*AZ17/$AZ$5,2)</f>
        <v>1308.27</v>
      </c>
      <c r="AZ17" s="16">
        <f>BA17+BL17</f>
        <v>4930.59</v>
      </c>
      <c r="BA17" s="16">
        <f>SUM(BB17:BK17)</f>
        <v>4903.66</v>
      </c>
      <c r="BB17" s="16">
        <f>IF($D17="是",I17-J17,0)</f>
        <v>3517.57</v>
      </c>
      <c r="BC17" s="16">
        <f>IF($D17="是",K17-L17,0)</f>
        <v>1386.09</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26.93</v>
      </c>
      <c r="BM17" s="16">
        <f>IF($D17="是",AD17-AE17,0)</f>
        <v>0</v>
      </c>
      <c r="BN17" s="16">
        <f>IF($D17="是",AF17-AG17,0)</f>
        <v>0</v>
      </c>
      <c r="BO17" s="16">
        <f>IF($D17="是",AH17-AI17,0)</f>
        <v>0</v>
      </c>
      <c r="BP17" s="16">
        <f>IF($D17="是",AJ17-AK17,0)</f>
        <v>0</v>
      </c>
      <c r="BQ17" s="16">
        <f>IF($D17="是",AL17-AM17,0)</f>
        <v>0</v>
      </c>
      <c r="BR17" s="16">
        <f>IF($D17="是",AN17-AO17,0)</f>
        <v>26.93</v>
      </c>
      <c r="BS17" s="16">
        <f>IF($D17="是",AP17-AQ17,0)</f>
        <v>0</v>
      </c>
      <c r="BT17" s="22">
        <f>IF($D17="是",AR17-AS17,0)</f>
        <v>0</v>
      </c>
    </row>
    <row r="18" spans="1:72">
      <c r="A18" s="9"/>
      <c r="B18" s="34"/>
      <c r="C18" s="1272" t="str">
        <f>规证整理!B18</f>
        <v>4#住宅楼</v>
      </c>
      <c r="D18" s="2211" t="s">
        <v>3145</v>
      </c>
      <c r="E18" s="16">
        <f t="shared" ref="E18:E112" si="7">IF($C$3="是",ROUND($A$3*G18/$B$3,2),ROUND($A$3*(G18-AT18)/$B$3,2))</f>
        <v>1310.78</v>
      </c>
      <c r="F18" s="32"/>
      <c r="G18" s="33">
        <f t="shared" ref="G18:G109" si="8">H18+AC18+AT18</f>
        <v>4940.05</v>
      </c>
      <c r="H18" s="20">
        <f t="shared" ref="H18:H109" si="9">SUMIF(I$12:AB$12,"总值",I18:AB18)</f>
        <v>4940.05</v>
      </c>
      <c r="I18" s="2212">
        <f>规证整理!G18</f>
        <v>3163.92</v>
      </c>
      <c r="J18" s="39"/>
      <c r="K18" s="2212">
        <f>规证整理!H18</f>
        <v>1776.13</v>
      </c>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2213">
        <f>规证整理!I18</f>
        <v>0</v>
      </c>
      <c r="AO18" s="40"/>
      <c r="AP18" s="40"/>
      <c r="AQ18" s="40"/>
      <c r="AR18" s="40"/>
      <c r="AS18" s="40"/>
      <c r="AT18" s="41"/>
      <c r="AU18" s="2217"/>
      <c r="AV18" s="1795">
        <f t="shared" ref="AV18:AV112" si="11">A18</f>
        <v>0</v>
      </c>
      <c r="AW18" s="1795">
        <f t="shared" ref="AW18:AW112" si="12">B18</f>
        <v>0</v>
      </c>
      <c r="AX18" s="1795" t="str">
        <f t="shared" ref="AX18:AX112" si="13">C18</f>
        <v>4#住宅楼</v>
      </c>
      <c r="AY18" s="42">
        <f t="shared" ref="AY18:AY109" si="14">ROUND($AY$6*AZ18/$AZ$5,2)</f>
        <v>1310.78</v>
      </c>
      <c r="AZ18" s="35">
        <f t="shared" ref="AZ18:AZ109" si="15">BA18+BL18</f>
        <v>4940.05</v>
      </c>
      <c r="BA18" s="35">
        <f t="shared" ref="BA18:BA109" si="16">SUM(BB18:BK18)</f>
        <v>4940.05</v>
      </c>
      <c r="BB18" s="35">
        <f t="shared" ref="BB18:BB109" si="17">IF($D18="是",I18-J18,0)</f>
        <v>3163.92</v>
      </c>
      <c r="BC18" s="35">
        <f t="shared" ref="BC18:BC109" si="18">IF($D18="是",K18-L18,0)</f>
        <v>1776.13</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1272" t="str">
        <f>规证整理!B19</f>
        <v>6#住宅楼</v>
      </c>
      <c r="D19" s="2211" t="s">
        <v>3145</v>
      </c>
      <c r="E19" s="16">
        <f t="shared" si="7"/>
        <v>880</v>
      </c>
      <c r="F19" s="32"/>
      <c r="G19" s="33">
        <f t="shared" si="8"/>
        <v>3316.5099999999998</v>
      </c>
      <c r="H19" s="20">
        <f t="shared" si="9"/>
        <v>3289.58</v>
      </c>
      <c r="I19" s="2212">
        <f>规证整理!G19</f>
        <v>2381.88</v>
      </c>
      <c r="J19" s="39"/>
      <c r="K19" s="2212">
        <f>规证整理!H19</f>
        <v>907.7</v>
      </c>
      <c r="L19" s="39"/>
      <c r="M19" s="39"/>
      <c r="N19" s="39"/>
      <c r="O19" s="39"/>
      <c r="P19" s="39"/>
      <c r="Q19" s="39"/>
      <c r="R19" s="39"/>
      <c r="S19" s="39"/>
      <c r="T19" s="39"/>
      <c r="U19" s="39"/>
      <c r="V19" s="39"/>
      <c r="W19" s="39"/>
      <c r="X19" s="39"/>
      <c r="Y19" s="39"/>
      <c r="Z19" s="39"/>
      <c r="AA19" s="39"/>
      <c r="AB19" s="39"/>
      <c r="AC19" s="35">
        <f t="shared" si="10"/>
        <v>26.93</v>
      </c>
      <c r="AD19" s="40"/>
      <c r="AE19" s="40"/>
      <c r="AF19" s="40"/>
      <c r="AG19" s="40"/>
      <c r="AH19" s="40"/>
      <c r="AI19" s="40"/>
      <c r="AJ19" s="40"/>
      <c r="AK19" s="40"/>
      <c r="AL19" s="40"/>
      <c r="AM19" s="40"/>
      <c r="AN19" s="2213">
        <f>规证整理!I19</f>
        <v>26.93</v>
      </c>
      <c r="AO19" s="40"/>
      <c r="AP19" s="40"/>
      <c r="AQ19" s="40"/>
      <c r="AR19" s="40"/>
      <c r="AS19" s="40"/>
      <c r="AT19" s="41"/>
      <c r="AU19" s="2217"/>
      <c r="AV19" s="1795">
        <f t="shared" si="11"/>
        <v>0</v>
      </c>
      <c r="AW19" s="1795">
        <f t="shared" si="12"/>
        <v>0</v>
      </c>
      <c r="AX19" s="1795" t="str">
        <f t="shared" si="13"/>
        <v>6#住宅楼</v>
      </c>
      <c r="AY19" s="42">
        <f t="shared" si="14"/>
        <v>880</v>
      </c>
      <c r="AZ19" s="35">
        <f t="shared" si="15"/>
        <v>3316.5099999999998</v>
      </c>
      <c r="BA19" s="35">
        <f t="shared" si="16"/>
        <v>3289.58</v>
      </c>
      <c r="BB19" s="35">
        <f t="shared" si="17"/>
        <v>2381.88</v>
      </c>
      <c r="BC19" s="35">
        <f t="shared" si="18"/>
        <v>907.7</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26.93</v>
      </c>
      <c r="BM19" s="35">
        <f t="shared" si="28"/>
        <v>0</v>
      </c>
      <c r="BN19" s="35">
        <f t="shared" si="29"/>
        <v>0</v>
      </c>
      <c r="BO19" s="35">
        <f t="shared" si="30"/>
        <v>0</v>
      </c>
      <c r="BP19" s="35">
        <f t="shared" si="31"/>
        <v>0</v>
      </c>
      <c r="BQ19" s="35">
        <f t="shared" si="32"/>
        <v>0</v>
      </c>
      <c r="BR19" s="35">
        <f t="shared" si="33"/>
        <v>26.93</v>
      </c>
      <c r="BS19" s="35">
        <f t="shared" si="34"/>
        <v>0</v>
      </c>
      <c r="BT19" s="43">
        <f t="shared" si="35"/>
        <v>0</v>
      </c>
    </row>
    <row r="20" spans="1:72">
      <c r="A20" s="9"/>
      <c r="B20" s="34"/>
      <c r="C20" s="1272" t="str">
        <f>规证整理!B20</f>
        <v>7#住宅楼</v>
      </c>
      <c r="D20" s="2211" t="s">
        <v>3145</v>
      </c>
      <c r="E20" s="16">
        <f t="shared" si="7"/>
        <v>1051.1199999999999</v>
      </c>
      <c r="F20" s="32"/>
      <c r="G20" s="33">
        <f t="shared" si="8"/>
        <v>3961.4300000000003</v>
      </c>
      <c r="H20" s="20">
        <f t="shared" si="9"/>
        <v>3933.0200000000004</v>
      </c>
      <c r="I20" s="2212">
        <f>规证整理!G20</f>
        <v>2315.8200000000002</v>
      </c>
      <c r="J20" s="39"/>
      <c r="K20" s="2212">
        <f>规证整理!H20</f>
        <v>1617.2</v>
      </c>
      <c r="L20" s="39"/>
      <c r="M20" s="39"/>
      <c r="N20" s="39"/>
      <c r="O20" s="39"/>
      <c r="P20" s="39"/>
      <c r="Q20" s="39"/>
      <c r="R20" s="39"/>
      <c r="S20" s="39"/>
      <c r="T20" s="39"/>
      <c r="U20" s="39"/>
      <c r="V20" s="39"/>
      <c r="W20" s="39"/>
      <c r="X20" s="39"/>
      <c r="Y20" s="39"/>
      <c r="Z20" s="39"/>
      <c r="AA20" s="39"/>
      <c r="AB20" s="39"/>
      <c r="AC20" s="35">
        <f t="shared" si="10"/>
        <v>28.41</v>
      </c>
      <c r="AD20" s="40"/>
      <c r="AE20" s="40"/>
      <c r="AF20" s="40"/>
      <c r="AG20" s="40"/>
      <c r="AH20" s="40"/>
      <c r="AI20" s="40"/>
      <c r="AJ20" s="40"/>
      <c r="AK20" s="40"/>
      <c r="AL20" s="40"/>
      <c r="AM20" s="40"/>
      <c r="AN20" s="2213">
        <f>规证整理!I20</f>
        <v>28.41</v>
      </c>
      <c r="AO20" s="40"/>
      <c r="AP20" s="40"/>
      <c r="AQ20" s="40"/>
      <c r="AR20" s="40"/>
      <c r="AS20" s="40"/>
      <c r="AT20" s="41"/>
      <c r="AU20" s="2217"/>
      <c r="AV20" s="1795">
        <f t="shared" si="11"/>
        <v>0</v>
      </c>
      <c r="AW20" s="1795">
        <f t="shared" si="12"/>
        <v>0</v>
      </c>
      <c r="AX20" s="1795" t="str">
        <f t="shared" si="13"/>
        <v>7#住宅楼</v>
      </c>
      <c r="AY20" s="42">
        <f t="shared" si="14"/>
        <v>1051.1199999999999</v>
      </c>
      <c r="AZ20" s="35">
        <f t="shared" si="15"/>
        <v>3961.4300000000003</v>
      </c>
      <c r="BA20" s="35">
        <f t="shared" si="16"/>
        <v>3933.0200000000004</v>
      </c>
      <c r="BB20" s="35">
        <f t="shared" si="17"/>
        <v>2315.8200000000002</v>
      </c>
      <c r="BC20" s="35">
        <f t="shared" si="18"/>
        <v>1617.2</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28.41</v>
      </c>
      <c r="BM20" s="35">
        <f t="shared" si="28"/>
        <v>0</v>
      </c>
      <c r="BN20" s="35">
        <f t="shared" si="29"/>
        <v>0</v>
      </c>
      <c r="BO20" s="35">
        <f t="shared" si="30"/>
        <v>0</v>
      </c>
      <c r="BP20" s="35">
        <f t="shared" si="31"/>
        <v>0</v>
      </c>
      <c r="BQ20" s="35">
        <f t="shared" si="32"/>
        <v>0</v>
      </c>
      <c r="BR20" s="35">
        <f t="shared" si="33"/>
        <v>28.41</v>
      </c>
      <c r="BS20" s="35">
        <f t="shared" si="34"/>
        <v>0</v>
      </c>
      <c r="BT20" s="43">
        <f t="shared" si="35"/>
        <v>0</v>
      </c>
    </row>
    <row r="21" spans="1:72">
      <c r="A21" s="9"/>
      <c r="B21" s="34"/>
      <c r="C21" s="1272" t="str">
        <f>规证整理!B21</f>
        <v>10#住宅楼</v>
      </c>
      <c r="D21" s="2211" t="s">
        <v>3145</v>
      </c>
      <c r="E21" s="16">
        <f t="shared" si="7"/>
        <v>1051.77</v>
      </c>
      <c r="F21" s="32"/>
      <c r="G21" s="33">
        <f t="shared" si="8"/>
        <v>3963.9</v>
      </c>
      <c r="H21" s="20">
        <f t="shared" si="9"/>
        <v>3935.4900000000002</v>
      </c>
      <c r="I21" s="2212">
        <f>规证整理!G21</f>
        <v>2315.8200000000002</v>
      </c>
      <c r="J21" s="39"/>
      <c r="K21" s="2212">
        <f>规证整理!H21</f>
        <v>1619.67</v>
      </c>
      <c r="L21" s="39"/>
      <c r="M21" s="39"/>
      <c r="N21" s="39"/>
      <c r="O21" s="39"/>
      <c r="P21" s="39"/>
      <c r="Q21" s="39"/>
      <c r="R21" s="39"/>
      <c r="S21" s="39"/>
      <c r="T21" s="39"/>
      <c r="U21" s="39"/>
      <c r="V21" s="39"/>
      <c r="W21" s="39"/>
      <c r="X21" s="39"/>
      <c r="Y21" s="39"/>
      <c r="Z21" s="39"/>
      <c r="AA21" s="39"/>
      <c r="AB21" s="39"/>
      <c r="AC21" s="35">
        <f t="shared" si="10"/>
        <v>28.41</v>
      </c>
      <c r="AD21" s="40"/>
      <c r="AE21" s="40"/>
      <c r="AF21" s="40"/>
      <c r="AG21" s="40"/>
      <c r="AH21" s="40"/>
      <c r="AI21" s="40"/>
      <c r="AJ21" s="40"/>
      <c r="AK21" s="40"/>
      <c r="AL21" s="40"/>
      <c r="AM21" s="40"/>
      <c r="AN21" s="2213">
        <f>规证整理!I21</f>
        <v>28.41</v>
      </c>
      <c r="AO21" s="40"/>
      <c r="AP21" s="40"/>
      <c r="AQ21" s="40"/>
      <c r="AR21" s="40"/>
      <c r="AS21" s="40"/>
      <c r="AT21" s="41"/>
      <c r="AU21" s="2217"/>
      <c r="AV21" s="1795">
        <f t="shared" si="11"/>
        <v>0</v>
      </c>
      <c r="AW21" s="1795">
        <f t="shared" si="12"/>
        <v>0</v>
      </c>
      <c r="AX21" s="1795" t="str">
        <f t="shared" si="13"/>
        <v>10#住宅楼</v>
      </c>
      <c r="AY21" s="42">
        <f t="shared" si="14"/>
        <v>1051.77</v>
      </c>
      <c r="AZ21" s="35">
        <f t="shared" si="15"/>
        <v>3963.9</v>
      </c>
      <c r="BA21" s="35">
        <f t="shared" si="16"/>
        <v>3935.4900000000002</v>
      </c>
      <c r="BB21" s="35">
        <f t="shared" si="17"/>
        <v>2315.8200000000002</v>
      </c>
      <c r="BC21" s="35">
        <f t="shared" si="18"/>
        <v>1619.67</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28.41</v>
      </c>
      <c r="BM21" s="35">
        <f t="shared" si="28"/>
        <v>0</v>
      </c>
      <c r="BN21" s="35">
        <f t="shared" si="29"/>
        <v>0</v>
      </c>
      <c r="BO21" s="35">
        <f t="shared" si="30"/>
        <v>0</v>
      </c>
      <c r="BP21" s="35">
        <f t="shared" si="31"/>
        <v>0</v>
      </c>
      <c r="BQ21" s="35">
        <f t="shared" si="32"/>
        <v>0</v>
      </c>
      <c r="BR21" s="35">
        <f t="shared" si="33"/>
        <v>28.41</v>
      </c>
      <c r="BS21" s="35">
        <f t="shared" si="34"/>
        <v>0</v>
      </c>
      <c r="BT21" s="43">
        <f t="shared" si="35"/>
        <v>0</v>
      </c>
    </row>
    <row r="22" spans="1:72" ht="28.5">
      <c r="A22" s="9"/>
      <c r="B22" s="34"/>
      <c r="C22" s="2976" t="str">
        <f>规证整理!B23</f>
        <v>地下车库二期</v>
      </c>
      <c r="D22" s="2211" t="s">
        <v>3145</v>
      </c>
      <c r="E22" s="16">
        <f t="shared" si="7"/>
        <v>2399.79</v>
      </c>
      <c r="F22" s="32"/>
      <c r="G22" s="33">
        <f t="shared" si="8"/>
        <v>9044.26</v>
      </c>
      <c r="H22" s="20">
        <f t="shared" si="9"/>
        <v>6513.05</v>
      </c>
      <c r="I22" s="39"/>
      <c r="J22" s="39"/>
      <c r="K22" s="39"/>
      <c r="L22" s="39"/>
      <c r="M22" s="2212">
        <f>规证整理!J23</f>
        <v>6513.05</v>
      </c>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2214">
        <f>规证整理!K23</f>
        <v>2531.21</v>
      </c>
      <c r="AU22" s="2217"/>
      <c r="AV22" s="1795">
        <f t="shared" si="11"/>
        <v>0</v>
      </c>
      <c r="AW22" s="1795">
        <f t="shared" si="12"/>
        <v>0</v>
      </c>
      <c r="AX22" s="1795" t="str">
        <f t="shared" si="13"/>
        <v>地下车库二期</v>
      </c>
      <c r="AY22" s="42">
        <f t="shared" si="14"/>
        <v>1728.16</v>
      </c>
      <c r="AZ22" s="35">
        <f t="shared" si="15"/>
        <v>6513.05</v>
      </c>
      <c r="BA22" s="35">
        <f t="shared" si="16"/>
        <v>6513.05</v>
      </c>
      <c r="BB22" s="35">
        <f t="shared" si="17"/>
        <v>0</v>
      </c>
      <c r="BC22" s="35">
        <f t="shared" si="18"/>
        <v>0</v>
      </c>
      <c r="BD22" s="35">
        <f t="shared" si="19"/>
        <v>6513.05</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ht="85.5">
      <c r="A23" s="9"/>
      <c r="B23" s="2976" t="str">
        <f>规证整理!A27</f>
        <v>《工程规划许可证》证号：建字第110114201700015号</v>
      </c>
      <c r="C23" s="2976" t="str">
        <f>规证整理!B31</f>
        <v>11#住宅楼</v>
      </c>
      <c r="D23" s="2211" t="s">
        <v>3145</v>
      </c>
      <c r="E23" s="16">
        <f t="shared" si="7"/>
        <v>693.58</v>
      </c>
      <c r="F23" s="32"/>
      <c r="G23" s="33">
        <f t="shared" si="8"/>
        <v>2613.9300000000003</v>
      </c>
      <c r="H23" s="20">
        <f t="shared" si="9"/>
        <v>2591.61</v>
      </c>
      <c r="I23" s="2212">
        <f>规证整理!G31</f>
        <v>1549.16</v>
      </c>
      <c r="J23" s="39"/>
      <c r="K23" s="2212">
        <f>规证整理!H31</f>
        <v>1042.45</v>
      </c>
      <c r="L23" s="39"/>
      <c r="M23" s="39"/>
      <c r="N23" s="39"/>
      <c r="O23" s="39"/>
      <c r="P23" s="39"/>
      <c r="Q23" s="39"/>
      <c r="R23" s="39"/>
      <c r="S23" s="39"/>
      <c r="T23" s="39"/>
      <c r="U23" s="39"/>
      <c r="V23" s="39"/>
      <c r="W23" s="39"/>
      <c r="X23" s="39"/>
      <c r="Y23" s="39"/>
      <c r="Z23" s="39"/>
      <c r="AA23" s="39"/>
      <c r="AB23" s="39"/>
      <c r="AC23" s="35">
        <f t="shared" si="10"/>
        <v>22.32</v>
      </c>
      <c r="AD23" s="40"/>
      <c r="AE23" s="40"/>
      <c r="AF23" s="40"/>
      <c r="AG23" s="40"/>
      <c r="AH23" s="40"/>
      <c r="AI23" s="40"/>
      <c r="AJ23" s="40"/>
      <c r="AK23" s="40"/>
      <c r="AL23" s="40"/>
      <c r="AM23" s="40"/>
      <c r="AN23" s="2213">
        <f>规证整理!I31</f>
        <v>22.32</v>
      </c>
      <c r="AO23" s="40"/>
      <c r="AP23" s="40"/>
      <c r="AQ23" s="40"/>
      <c r="AR23" s="40"/>
      <c r="AS23" s="40"/>
      <c r="AT23" s="41"/>
      <c r="AU23" s="2217"/>
      <c r="AV23" s="1795">
        <f t="shared" si="11"/>
        <v>0</v>
      </c>
      <c r="AW23" s="1795" t="str">
        <f t="shared" si="12"/>
        <v>《工程规划许可证》证号：建字第110114201700015号</v>
      </c>
      <c r="AX23" s="1795" t="str">
        <f t="shared" si="13"/>
        <v>11#住宅楼</v>
      </c>
      <c r="AY23" s="42">
        <f t="shared" si="14"/>
        <v>693.58</v>
      </c>
      <c r="AZ23" s="35">
        <f t="shared" si="15"/>
        <v>2613.9300000000003</v>
      </c>
      <c r="BA23" s="35">
        <f t="shared" si="16"/>
        <v>2591.61</v>
      </c>
      <c r="BB23" s="35">
        <f t="shared" si="17"/>
        <v>1549.16</v>
      </c>
      <c r="BC23" s="35">
        <f t="shared" si="18"/>
        <v>1042.45</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22.32</v>
      </c>
      <c r="BM23" s="35">
        <f t="shared" si="28"/>
        <v>0</v>
      </c>
      <c r="BN23" s="35">
        <f t="shared" si="29"/>
        <v>0</v>
      </c>
      <c r="BO23" s="35">
        <f t="shared" si="30"/>
        <v>0</v>
      </c>
      <c r="BP23" s="35">
        <f t="shared" si="31"/>
        <v>0</v>
      </c>
      <c r="BQ23" s="35">
        <f t="shared" si="32"/>
        <v>0</v>
      </c>
      <c r="BR23" s="35">
        <f t="shared" si="33"/>
        <v>22.32</v>
      </c>
      <c r="BS23" s="35">
        <f t="shared" si="34"/>
        <v>0</v>
      </c>
      <c r="BT23" s="43">
        <f t="shared" si="35"/>
        <v>0</v>
      </c>
    </row>
    <row r="24" spans="1:72">
      <c r="A24" s="9"/>
      <c r="B24" s="34"/>
      <c r="C24" s="2976" t="str">
        <f>规证整理!B32</f>
        <v>12#住宅楼</v>
      </c>
      <c r="D24" s="2211" t="s">
        <v>3145</v>
      </c>
      <c r="E24" s="16">
        <f t="shared" si="7"/>
        <v>1205.24</v>
      </c>
      <c r="F24" s="32"/>
      <c r="G24" s="33">
        <f t="shared" si="8"/>
        <v>4542.26</v>
      </c>
      <c r="H24" s="20">
        <f t="shared" si="9"/>
        <v>4520.2</v>
      </c>
      <c r="I24" s="2212">
        <f>规证整理!G32</f>
        <v>2380.6799999999998</v>
      </c>
      <c r="J24" s="39"/>
      <c r="K24" s="2212">
        <f>规证整理!H32</f>
        <v>2139.52</v>
      </c>
      <c r="L24" s="39"/>
      <c r="M24" s="39"/>
      <c r="N24" s="39"/>
      <c r="O24" s="39"/>
      <c r="P24" s="39"/>
      <c r="Q24" s="39"/>
      <c r="R24" s="39"/>
      <c r="S24" s="39"/>
      <c r="T24" s="39"/>
      <c r="U24" s="39"/>
      <c r="V24" s="39"/>
      <c r="W24" s="39"/>
      <c r="X24" s="39"/>
      <c r="Y24" s="39"/>
      <c r="Z24" s="39"/>
      <c r="AA24" s="39"/>
      <c r="AB24" s="39"/>
      <c r="AC24" s="35">
        <f t="shared" si="10"/>
        <v>22.06</v>
      </c>
      <c r="AD24" s="40"/>
      <c r="AE24" s="40"/>
      <c r="AF24" s="40"/>
      <c r="AG24" s="40"/>
      <c r="AH24" s="40"/>
      <c r="AI24" s="40"/>
      <c r="AJ24" s="40"/>
      <c r="AK24" s="40"/>
      <c r="AL24" s="40"/>
      <c r="AM24" s="40"/>
      <c r="AN24" s="2213">
        <f>规证整理!I32</f>
        <v>22.06</v>
      </c>
      <c r="AO24" s="40"/>
      <c r="AP24" s="40"/>
      <c r="AQ24" s="40"/>
      <c r="AR24" s="40"/>
      <c r="AS24" s="40"/>
      <c r="AT24" s="41"/>
      <c r="AU24" s="2217"/>
      <c r="AV24" s="1795">
        <f t="shared" si="11"/>
        <v>0</v>
      </c>
      <c r="AW24" s="1795">
        <f t="shared" si="12"/>
        <v>0</v>
      </c>
      <c r="AX24" s="1795" t="str">
        <f t="shared" si="13"/>
        <v>12#住宅楼</v>
      </c>
      <c r="AY24" s="42">
        <f t="shared" si="14"/>
        <v>1205.24</v>
      </c>
      <c r="AZ24" s="35">
        <f t="shared" si="15"/>
        <v>4542.26</v>
      </c>
      <c r="BA24" s="35">
        <f t="shared" si="16"/>
        <v>4520.2</v>
      </c>
      <c r="BB24" s="35">
        <f t="shared" si="17"/>
        <v>2380.6799999999998</v>
      </c>
      <c r="BC24" s="35">
        <f t="shared" si="18"/>
        <v>2139.52</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22.06</v>
      </c>
      <c r="BM24" s="35">
        <f t="shared" si="28"/>
        <v>0</v>
      </c>
      <c r="BN24" s="35">
        <f t="shared" si="29"/>
        <v>0</v>
      </c>
      <c r="BO24" s="35">
        <f t="shared" si="30"/>
        <v>0</v>
      </c>
      <c r="BP24" s="35">
        <f t="shared" si="31"/>
        <v>0</v>
      </c>
      <c r="BQ24" s="35">
        <f t="shared" si="32"/>
        <v>0</v>
      </c>
      <c r="BR24" s="35">
        <f t="shared" si="33"/>
        <v>22.06</v>
      </c>
      <c r="BS24" s="35">
        <f t="shared" si="34"/>
        <v>0</v>
      </c>
      <c r="BT24" s="43">
        <f t="shared" si="35"/>
        <v>0</v>
      </c>
    </row>
    <row r="25" spans="1:72">
      <c r="A25" s="9"/>
      <c r="B25" s="34"/>
      <c r="C25" s="2976" t="str">
        <f>规证整理!B33</f>
        <v>13#住宅楼</v>
      </c>
      <c r="D25" s="2211" t="s">
        <v>3145</v>
      </c>
      <c r="E25" s="16">
        <f t="shared" si="7"/>
        <v>1161.6600000000001</v>
      </c>
      <c r="F25" s="32"/>
      <c r="G25" s="33">
        <f t="shared" si="8"/>
        <v>4378.03</v>
      </c>
      <c r="H25" s="20">
        <f t="shared" si="9"/>
        <v>4355.9699999999993</v>
      </c>
      <c r="I25" s="2212">
        <f>规证整理!G33</f>
        <v>2380.6799999999998</v>
      </c>
      <c r="J25" s="39"/>
      <c r="K25" s="2212">
        <f>规证整理!H33</f>
        <v>1975.29</v>
      </c>
      <c r="L25" s="39"/>
      <c r="M25" s="39"/>
      <c r="N25" s="39"/>
      <c r="O25" s="39"/>
      <c r="P25" s="39"/>
      <c r="Q25" s="39"/>
      <c r="R25" s="39"/>
      <c r="S25" s="39"/>
      <c r="T25" s="39"/>
      <c r="U25" s="39"/>
      <c r="V25" s="39"/>
      <c r="W25" s="39"/>
      <c r="X25" s="39"/>
      <c r="Y25" s="39"/>
      <c r="Z25" s="39"/>
      <c r="AA25" s="39"/>
      <c r="AB25" s="39"/>
      <c r="AC25" s="35">
        <f t="shared" si="10"/>
        <v>22.06</v>
      </c>
      <c r="AD25" s="40"/>
      <c r="AE25" s="40"/>
      <c r="AF25" s="40"/>
      <c r="AG25" s="40"/>
      <c r="AH25" s="40"/>
      <c r="AI25" s="40"/>
      <c r="AJ25" s="40"/>
      <c r="AK25" s="40"/>
      <c r="AL25" s="40"/>
      <c r="AM25" s="40"/>
      <c r="AN25" s="2213">
        <f>规证整理!I33</f>
        <v>22.06</v>
      </c>
      <c r="AO25" s="40"/>
      <c r="AP25" s="40"/>
      <c r="AQ25" s="40"/>
      <c r="AR25" s="40"/>
      <c r="AS25" s="40"/>
      <c r="AT25" s="41"/>
      <c r="AU25" s="2217"/>
      <c r="AV25" s="1795">
        <f t="shared" si="11"/>
        <v>0</v>
      </c>
      <c r="AW25" s="1795">
        <f t="shared" si="12"/>
        <v>0</v>
      </c>
      <c r="AX25" s="1795" t="str">
        <f t="shared" si="13"/>
        <v>13#住宅楼</v>
      </c>
      <c r="AY25" s="42">
        <f t="shared" si="14"/>
        <v>1161.6600000000001</v>
      </c>
      <c r="AZ25" s="35">
        <f t="shared" si="15"/>
        <v>4378.03</v>
      </c>
      <c r="BA25" s="35">
        <f t="shared" si="16"/>
        <v>4355.9699999999993</v>
      </c>
      <c r="BB25" s="35">
        <f t="shared" si="17"/>
        <v>2380.6799999999998</v>
      </c>
      <c r="BC25" s="35">
        <f t="shared" si="18"/>
        <v>1975.29</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22.06</v>
      </c>
      <c r="BM25" s="35">
        <f t="shared" si="28"/>
        <v>0</v>
      </c>
      <c r="BN25" s="35">
        <f t="shared" si="29"/>
        <v>0</v>
      </c>
      <c r="BO25" s="35">
        <f t="shared" si="30"/>
        <v>0</v>
      </c>
      <c r="BP25" s="35">
        <f t="shared" si="31"/>
        <v>0</v>
      </c>
      <c r="BQ25" s="35">
        <f t="shared" si="32"/>
        <v>0</v>
      </c>
      <c r="BR25" s="35">
        <f t="shared" si="33"/>
        <v>22.06</v>
      </c>
      <c r="BS25" s="35">
        <f t="shared" si="34"/>
        <v>0</v>
      </c>
      <c r="BT25" s="43">
        <f t="shared" si="35"/>
        <v>0</v>
      </c>
    </row>
    <row r="26" spans="1:72">
      <c r="A26" s="9"/>
      <c r="B26" s="34"/>
      <c r="C26" s="2976" t="str">
        <f>规证整理!B34</f>
        <v>14#住宅楼</v>
      </c>
      <c r="D26" s="2211" t="s">
        <v>3145</v>
      </c>
      <c r="E26" s="16">
        <f t="shared" si="7"/>
        <v>731.9</v>
      </c>
      <c r="F26" s="32"/>
      <c r="G26" s="33">
        <f t="shared" si="8"/>
        <v>2758.36</v>
      </c>
      <c r="H26" s="20">
        <f t="shared" si="9"/>
        <v>2736.04</v>
      </c>
      <c r="I26" s="2212">
        <f>规证整理!G34</f>
        <v>1549.16</v>
      </c>
      <c r="J26" s="39"/>
      <c r="K26" s="2212">
        <f>规证整理!H34</f>
        <v>1186.8800000000001</v>
      </c>
      <c r="L26" s="39"/>
      <c r="M26" s="39"/>
      <c r="N26" s="39"/>
      <c r="O26" s="39"/>
      <c r="P26" s="39"/>
      <c r="Q26" s="39"/>
      <c r="R26" s="39"/>
      <c r="S26" s="39"/>
      <c r="T26" s="39"/>
      <c r="U26" s="39"/>
      <c r="V26" s="39"/>
      <c r="W26" s="39"/>
      <c r="X26" s="39"/>
      <c r="Y26" s="39"/>
      <c r="Z26" s="39"/>
      <c r="AA26" s="39"/>
      <c r="AB26" s="39"/>
      <c r="AC26" s="35">
        <f t="shared" si="10"/>
        <v>22.32</v>
      </c>
      <c r="AD26" s="40"/>
      <c r="AE26" s="40"/>
      <c r="AF26" s="40"/>
      <c r="AG26" s="40"/>
      <c r="AH26" s="40"/>
      <c r="AI26" s="40"/>
      <c r="AJ26" s="40"/>
      <c r="AK26" s="40"/>
      <c r="AL26" s="40"/>
      <c r="AM26" s="40"/>
      <c r="AN26" s="2213">
        <f>规证整理!I34</f>
        <v>22.32</v>
      </c>
      <c r="AO26" s="40"/>
      <c r="AP26" s="40"/>
      <c r="AQ26" s="40"/>
      <c r="AR26" s="40"/>
      <c r="AS26" s="40"/>
      <c r="AT26" s="41"/>
      <c r="AU26" s="2217"/>
      <c r="AV26" s="1795">
        <f t="shared" si="11"/>
        <v>0</v>
      </c>
      <c r="AW26" s="1795">
        <f t="shared" si="12"/>
        <v>0</v>
      </c>
      <c r="AX26" s="1795" t="str">
        <f t="shared" si="13"/>
        <v>14#住宅楼</v>
      </c>
      <c r="AY26" s="42">
        <f t="shared" si="14"/>
        <v>731.9</v>
      </c>
      <c r="AZ26" s="35">
        <f t="shared" si="15"/>
        <v>2758.36</v>
      </c>
      <c r="BA26" s="35">
        <f t="shared" si="16"/>
        <v>2736.04</v>
      </c>
      <c r="BB26" s="35">
        <f t="shared" si="17"/>
        <v>1549.16</v>
      </c>
      <c r="BC26" s="35">
        <f t="shared" si="18"/>
        <v>1186.8800000000001</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22.32</v>
      </c>
      <c r="BM26" s="35">
        <f t="shared" si="28"/>
        <v>0</v>
      </c>
      <c r="BN26" s="35">
        <f t="shared" si="29"/>
        <v>0</v>
      </c>
      <c r="BO26" s="35">
        <f t="shared" si="30"/>
        <v>0</v>
      </c>
      <c r="BP26" s="35">
        <f t="shared" si="31"/>
        <v>0</v>
      </c>
      <c r="BQ26" s="35">
        <f t="shared" si="32"/>
        <v>0</v>
      </c>
      <c r="BR26" s="35">
        <f t="shared" si="33"/>
        <v>22.32</v>
      </c>
      <c r="BS26" s="35">
        <f t="shared" si="34"/>
        <v>0</v>
      </c>
      <c r="BT26" s="43">
        <f t="shared" si="35"/>
        <v>0</v>
      </c>
    </row>
    <row r="27" spans="1:72">
      <c r="A27" s="9"/>
      <c r="B27" s="34"/>
      <c r="C27" s="2976" t="str">
        <f>规证整理!B35</f>
        <v>15#住宅楼</v>
      </c>
      <c r="D27" s="2211" t="s">
        <v>3145</v>
      </c>
      <c r="E27" s="16">
        <f t="shared" si="7"/>
        <v>794.89</v>
      </c>
      <c r="F27" s="32"/>
      <c r="G27" s="33">
        <f t="shared" si="8"/>
        <v>2995.77</v>
      </c>
      <c r="H27" s="20">
        <f t="shared" si="9"/>
        <v>2976.55</v>
      </c>
      <c r="I27" s="2212">
        <f>规证整理!G35</f>
        <v>1682.52</v>
      </c>
      <c r="J27" s="39"/>
      <c r="K27" s="2212">
        <f>规证整理!H35</f>
        <v>1294.03</v>
      </c>
      <c r="L27" s="39"/>
      <c r="M27" s="39"/>
      <c r="N27" s="39"/>
      <c r="O27" s="39"/>
      <c r="P27" s="39"/>
      <c r="Q27" s="39"/>
      <c r="R27" s="39"/>
      <c r="S27" s="39"/>
      <c r="T27" s="39"/>
      <c r="U27" s="39"/>
      <c r="V27" s="39"/>
      <c r="W27" s="39"/>
      <c r="X27" s="39"/>
      <c r="Y27" s="39"/>
      <c r="Z27" s="39"/>
      <c r="AA27" s="39"/>
      <c r="AB27" s="39"/>
      <c r="AC27" s="35">
        <f t="shared" si="10"/>
        <v>19.22</v>
      </c>
      <c r="AD27" s="40"/>
      <c r="AE27" s="40"/>
      <c r="AF27" s="40"/>
      <c r="AG27" s="40"/>
      <c r="AH27" s="40"/>
      <c r="AI27" s="40"/>
      <c r="AJ27" s="40"/>
      <c r="AK27" s="40"/>
      <c r="AL27" s="40"/>
      <c r="AM27" s="40"/>
      <c r="AN27" s="2213">
        <f>规证整理!I35</f>
        <v>19.22</v>
      </c>
      <c r="AO27" s="40"/>
      <c r="AP27" s="40"/>
      <c r="AQ27" s="40"/>
      <c r="AR27" s="40"/>
      <c r="AS27" s="40"/>
      <c r="AT27" s="41"/>
      <c r="AU27" s="2217"/>
      <c r="AV27" s="1795">
        <f t="shared" si="11"/>
        <v>0</v>
      </c>
      <c r="AW27" s="1795">
        <f t="shared" si="12"/>
        <v>0</v>
      </c>
      <c r="AX27" s="1795" t="str">
        <f t="shared" si="13"/>
        <v>15#住宅楼</v>
      </c>
      <c r="AY27" s="42">
        <f t="shared" si="14"/>
        <v>794.89</v>
      </c>
      <c r="AZ27" s="35">
        <f t="shared" si="15"/>
        <v>2995.77</v>
      </c>
      <c r="BA27" s="35">
        <f t="shared" si="16"/>
        <v>2976.55</v>
      </c>
      <c r="BB27" s="35">
        <f t="shared" si="17"/>
        <v>1682.52</v>
      </c>
      <c r="BC27" s="35">
        <f t="shared" si="18"/>
        <v>1294.03</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19.22</v>
      </c>
      <c r="BM27" s="35">
        <f t="shared" si="28"/>
        <v>0</v>
      </c>
      <c r="BN27" s="35">
        <f t="shared" si="29"/>
        <v>0</v>
      </c>
      <c r="BO27" s="35">
        <f t="shared" si="30"/>
        <v>0</v>
      </c>
      <c r="BP27" s="35">
        <f t="shared" si="31"/>
        <v>0</v>
      </c>
      <c r="BQ27" s="35">
        <f t="shared" si="32"/>
        <v>0</v>
      </c>
      <c r="BR27" s="35">
        <f t="shared" si="33"/>
        <v>19.22</v>
      </c>
      <c r="BS27" s="35">
        <f t="shared" si="34"/>
        <v>0</v>
      </c>
      <c r="BT27" s="43">
        <f t="shared" si="35"/>
        <v>0</v>
      </c>
    </row>
    <row r="28" spans="1:72">
      <c r="A28" s="9"/>
      <c r="B28" s="34"/>
      <c r="C28" s="2976" t="str">
        <f>规证整理!B36</f>
        <v>16#住宅楼</v>
      </c>
      <c r="D28" s="2211" t="s">
        <v>3145</v>
      </c>
      <c r="E28" s="16">
        <f t="shared" si="7"/>
        <v>1217.6199999999999</v>
      </c>
      <c r="F28" s="32"/>
      <c r="G28" s="33">
        <f t="shared" si="8"/>
        <v>4588.9399999999996</v>
      </c>
      <c r="H28" s="20">
        <f t="shared" si="9"/>
        <v>4565.8899999999994</v>
      </c>
      <c r="I28" s="2212">
        <f>规证整理!G36</f>
        <v>2380.6799999999998</v>
      </c>
      <c r="J28" s="39"/>
      <c r="K28" s="2212">
        <f>规证整理!H36</f>
        <v>2185.21</v>
      </c>
      <c r="L28" s="39"/>
      <c r="M28" s="39"/>
      <c r="N28" s="39"/>
      <c r="O28" s="39"/>
      <c r="P28" s="39"/>
      <c r="Q28" s="39"/>
      <c r="R28" s="39"/>
      <c r="S28" s="39"/>
      <c r="T28" s="39"/>
      <c r="U28" s="39"/>
      <c r="V28" s="39"/>
      <c r="W28" s="39"/>
      <c r="X28" s="39"/>
      <c r="Y28" s="39"/>
      <c r="Z28" s="39"/>
      <c r="AA28" s="39"/>
      <c r="AB28" s="39"/>
      <c r="AC28" s="35">
        <f t="shared" si="10"/>
        <v>23.05</v>
      </c>
      <c r="AD28" s="40"/>
      <c r="AE28" s="40"/>
      <c r="AF28" s="40"/>
      <c r="AG28" s="40"/>
      <c r="AH28" s="40"/>
      <c r="AI28" s="40"/>
      <c r="AJ28" s="40"/>
      <c r="AK28" s="40"/>
      <c r="AL28" s="40"/>
      <c r="AM28" s="40"/>
      <c r="AN28" s="2213">
        <f>规证整理!I36</f>
        <v>23.05</v>
      </c>
      <c r="AO28" s="40"/>
      <c r="AP28" s="40"/>
      <c r="AQ28" s="40"/>
      <c r="AR28" s="40"/>
      <c r="AS28" s="40"/>
      <c r="AT28" s="41"/>
      <c r="AU28" s="2217"/>
      <c r="AV28" s="1795">
        <f t="shared" si="11"/>
        <v>0</v>
      </c>
      <c r="AW28" s="1795">
        <f t="shared" si="12"/>
        <v>0</v>
      </c>
      <c r="AX28" s="1795" t="str">
        <f t="shared" si="13"/>
        <v>16#住宅楼</v>
      </c>
      <c r="AY28" s="42">
        <f t="shared" si="14"/>
        <v>1217.6199999999999</v>
      </c>
      <c r="AZ28" s="35">
        <f t="shared" si="15"/>
        <v>4588.9399999999996</v>
      </c>
      <c r="BA28" s="35">
        <f t="shared" si="16"/>
        <v>4565.8899999999994</v>
      </c>
      <c r="BB28" s="35">
        <f t="shared" si="17"/>
        <v>2380.6799999999998</v>
      </c>
      <c r="BC28" s="35">
        <f t="shared" si="18"/>
        <v>2185.21</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23.05</v>
      </c>
      <c r="BM28" s="35">
        <f t="shared" si="28"/>
        <v>0</v>
      </c>
      <c r="BN28" s="35">
        <f t="shared" si="29"/>
        <v>0</v>
      </c>
      <c r="BO28" s="35">
        <f t="shared" si="30"/>
        <v>0</v>
      </c>
      <c r="BP28" s="35">
        <f t="shared" si="31"/>
        <v>0</v>
      </c>
      <c r="BQ28" s="35">
        <f t="shared" si="32"/>
        <v>0</v>
      </c>
      <c r="BR28" s="35">
        <f t="shared" si="33"/>
        <v>23.05</v>
      </c>
      <c r="BS28" s="35">
        <f t="shared" si="34"/>
        <v>0</v>
      </c>
      <c r="BT28" s="43">
        <f t="shared" si="35"/>
        <v>0</v>
      </c>
    </row>
    <row r="29" spans="1:72">
      <c r="A29" s="9"/>
      <c r="B29" s="34"/>
      <c r="C29" s="2976" t="str">
        <f>规证整理!B37</f>
        <v>17#住宅楼</v>
      </c>
      <c r="D29" s="2211" t="s">
        <v>3145</v>
      </c>
      <c r="E29" s="16">
        <f t="shared" si="7"/>
        <v>1217.6199999999999</v>
      </c>
      <c r="F29" s="32"/>
      <c r="G29" s="33">
        <f t="shared" si="8"/>
        <v>4588.9399999999996</v>
      </c>
      <c r="H29" s="20">
        <f t="shared" si="9"/>
        <v>4565.8899999999994</v>
      </c>
      <c r="I29" s="2212">
        <f>规证整理!G37</f>
        <v>2380.6799999999998</v>
      </c>
      <c r="J29" s="39"/>
      <c r="K29" s="2212">
        <f>规证整理!H37</f>
        <v>2185.21</v>
      </c>
      <c r="L29" s="39"/>
      <c r="M29" s="39"/>
      <c r="N29" s="39"/>
      <c r="O29" s="39"/>
      <c r="P29" s="39"/>
      <c r="Q29" s="39"/>
      <c r="R29" s="39"/>
      <c r="S29" s="39"/>
      <c r="T29" s="39"/>
      <c r="U29" s="39"/>
      <c r="V29" s="39"/>
      <c r="W29" s="39"/>
      <c r="X29" s="39"/>
      <c r="Y29" s="39"/>
      <c r="Z29" s="39"/>
      <c r="AA29" s="39"/>
      <c r="AB29" s="39"/>
      <c r="AC29" s="35">
        <f t="shared" si="10"/>
        <v>23.05</v>
      </c>
      <c r="AD29" s="40"/>
      <c r="AE29" s="40"/>
      <c r="AF29" s="40"/>
      <c r="AG29" s="40"/>
      <c r="AH29" s="40"/>
      <c r="AI29" s="40"/>
      <c r="AJ29" s="40"/>
      <c r="AK29" s="40"/>
      <c r="AL29" s="40"/>
      <c r="AM29" s="40"/>
      <c r="AN29" s="2213">
        <f>规证整理!I37</f>
        <v>23.05</v>
      </c>
      <c r="AO29" s="40"/>
      <c r="AP29" s="40"/>
      <c r="AQ29" s="40"/>
      <c r="AR29" s="40"/>
      <c r="AS29" s="40"/>
      <c r="AT29" s="41"/>
      <c r="AU29" s="2217"/>
      <c r="AV29" s="1795">
        <f t="shared" si="11"/>
        <v>0</v>
      </c>
      <c r="AW29" s="1795">
        <f t="shared" si="12"/>
        <v>0</v>
      </c>
      <c r="AX29" s="1795" t="str">
        <f t="shared" si="13"/>
        <v>17#住宅楼</v>
      </c>
      <c r="AY29" s="42">
        <f t="shared" si="14"/>
        <v>1217.6199999999999</v>
      </c>
      <c r="AZ29" s="35">
        <f t="shared" si="15"/>
        <v>4588.9399999999996</v>
      </c>
      <c r="BA29" s="35">
        <f t="shared" si="16"/>
        <v>4565.8899999999994</v>
      </c>
      <c r="BB29" s="35">
        <f t="shared" si="17"/>
        <v>2380.6799999999998</v>
      </c>
      <c r="BC29" s="35">
        <f t="shared" si="18"/>
        <v>2185.21</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23.05</v>
      </c>
      <c r="BM29" s="35">
        <f t="shared" si="28"/>
        <v>0</v>
      </c>
      <c r="BN29" s="35">
        <f t="shared" si="29"/>
        <v>0</v>
      </c>
      <c r="BO29" s="35">
        <f t="shared" si="30"/>
        <v>0</v>
      </c>
      <c r="BP29" s="35">
        <f t="shared" si="31"/>
        <v>0</v>
      </c>
      <c r="BQ29" s="35">
        <f t="shared" si="32"/>
        <v>0</v>
      </c>
      <c r="BR29" s="35">
        <f t="shared" si="33"/>
        <v>23.05</v>
      </c>
      <c r="BS29" s="35">
        <f t="shared" si="34"/>
        <v>0</v>
      </c>
      <c r="BT29" s="43">
        <f t="shared" si="35"/>
        <v>0</v>
      </c>
    </row>
    <row r="30" spans="1:72">
      <c r="A30" s="9"/>
      <c r="B30" s="34"/>
      <c r="C30" s="2976" t="str">
        <f>规证整理!B38</f>
        <v>18#住宅楼</v>
      </c>
      <c r="D30" s="2211" t="s">
        <v>3145</v>
      </c>
      <c r="E30" s="16">
        <f t="shared" si="7"/>
        <v>845.08</v>
      </c>
      <c r="F30" s="32"/>
      <c r="G30" s="33">
        <f t="shared" si="8"/>
        <v>3184.93</v>
      </c>
      <c r="H30" s="20">
        <f t="shared" si="9"/>
        <v>3165.71</v>
      </c>
      <c r="I30" s="2212">
        <f>规证整理!G38</f>
        <v>1682.52</v>
      </c>
      <c r="J30" s="39"/>
      <c r="K30" s="2212">
        <f>规证整理!H38</f>
        <v>1483.19</v>
      </c>
      <c r="L30" s="39"/>
      <c r="M30" s="39"/>
      <c r="N30" s="39"/>
      <c r="O30" s="39"/>
      <c r="P30" s="39"/>
      <c r="Q30" s="39"/>
      <c r="R30" s="39"/>
      <c r="S30" s="39"/>
      <c r="T30" s="39"/>
      <c r="U30" s="39"/>
      <c r="V30" s="39"/>
      <c r="W30" s="39"/>
      <c r="X30" s="39"/>
      <c r="Y30" s="39"/>
      <c r="Z30" s="39"/>
      <c r="AA30" s="39"/>
      <c r="AB30" s="39"/>
      <c r="AC30" s="35">
        <f t="shared" si="10"/>
        <v>19.22</v>
      </c>
      <c r="AD30" s="40"/>
      <c r="AE30" s="40"/>
      <c r="AF30" s="40"/>
      <c r="AG30" s="40"/>
      <c r="AH30" s="40"/>
      <c r="AI30" s="40"/>
      <c r="AJ30" s="40"/>
      <c r="AK30" s="40"/>
      <c r="AL30" s="40"/>
      <c r="AM30" s="40"/>
      <c r="AN30" s="2213">
        <f>规证整理!I38</f>
        <v>19.22</v>
      </c>
      <c r="AO30" s="40"/>
      <c r="AP30" s="40"/>
      <c r="AQ30" s="40"/>
      <c r="AR30" s="40"/>
      <c r="AS30" s="40"/>
      <c r="AT30" s="41"/>
      <c r="AU30" s="2217"/>
      <c r="AV30" s="1795">
        <f t="shared" si="11"/>
        <v>0</v>
      </c>
      <c r="AW30" s="1795">
        <f t="shared" si="12"/>
        <v>0</v>
      </c>
      <c r="AX30" s="1795" t="str">
        <f t="shared" si="13"/>
        <v>18#住宅楼</v>
      </c>
      <c r="AY30" s="42">
        <f t="shared" si="14"/>
        <v>845.08</v>
      </c>
      <c r="AZ30" s="35">
        <f t="shared" si="15"/>
        <v>3184.93</v>
      </c>
      <c r="BA30" s="35">
        <f t="shared" si="16"/>
        <v>3165.71</v>
      </c>
      <c r="BB30" s="35">
        <f t="shared" si="17"/>
        <v>1682.52</v>
      </c>
      <c r="BC30" s="35">
        <f t="shared" si="18"/>
        <v>1483.19</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19.22</v>
      </c>
      <c r="BM30" s="35">
        <f t="shared" si="28"/>
        <v>0</v>
      </c>
      <c r="BN30" s="35">
        <f t="shared" si="29"/>
        <v>0</v>
      </c>
      <c r="BO30" s="35">
        <f t="shared" si="30"/>
        <v>0</v>
      </c>
      <c r="BP30" s="35">
        <f t="shared" si="31"/>
        <v>0</v>
      </c>
      <c r="BQ30" s="35">
        <f t="shared" si="32"/>
        <v>0</v>
      </c>
      <c r="BR30" s="35">
        <f t="shared" si="33"/>
        <v>19.22</v>
      </c>
      <c r="BS30" s="35">
        <f t="shared" si="34"/>
        <v>0</v>
      </c>
      <c r="BT30" s="43">
        <f t="shared" si="35"/>
        <v>0</v>
      </c>
    </row>
    <row r="31" spans="1:72">
      <c r="A31" s="9"/>
      <c r="B31" s="34"/>
      <c r="C31" s="2976" t="str">
        <f>规证整理!B39</f>
        <v>19#住宅楼</v>
      </c>
      <c r="D31" s="2211" t="s">
        <v>3145</v>
      </c>
      <c r="E31" s="16">
        <f t="shared" si="7"/>
        <v>791.66</v>
      </c>
      <c r="F31" s="32"/>
      <c r="G31" s="33">
        <f t="shared" si="8"/>
        <v>2983.6</v>
      </c>
      <c r="H31" s="20">
        <f t="shared" si="9"/>
        <v>2964.38</v>
      </c>
      <c r="I31" s="2212">
        <f>规证整理!G39</f>
        <v>1682.52</v>
      </c>
      <c r="J31" s="39"/>
      <c r="K31" s="2212">
        <f>规证整理!H39</f>
        <v>1281.8599999999999</v>
      </c>
      <c r="L31" s="39"/>
      <c r="M31" s="39"/>
      <c r="N31" s="39"/>
      <c r="O31" s="39"/>
      <c r="P31" s="39"/>
      <c r="Q31" s="39"/>
      <c r="R31" s="39"/>
      <c r="S31" s="39"/>
      <c r="T31" s="39"/>
      <c r="U31" s="39"/>
      <c r="V31" s="39"/>
      <c r="W31" s="39"/>
      <c r="X31" s="39"/>
      <c r="Y31" s="39"/>
      <c r="Z31" s="39"/>
      <c r="AA31" s="39"/>
      <c r="AB31" s="39"/>
      <c r="AC31" s="35">
        <f t="shared" si="10"/>
        <v>19.22</v>
      </c>
      <c r="AD31" s="40"/>
      <c r="AE31" s="40"/>
      <c r="AF31" s="40"/>
      <c r="AG31" s="40"/>
      <c r="AH31" s="40"/>
      <c r="AI31" s="40"/>
      <c r="AJ31" s="40"/>
      <c r="AK31" s="40"/>
      <c r="AL31" s="40"/>
      <c r="AM31" s="40"/>
      <c r="AN31" s="2213">
        <f>规证整理!I39</f>
        <v>19.22</v>
      </c>
      <c r="AO31" s="40"/>
      <c r="AP31" s="40"/>
      <c r="AQ31" s="40"/>
      <c r="AR31" s="40"/>
      <c r="AS31" s="40"/>
      <c r="AT31" s="41"/>
      <c r="AU31" s="2217"/>
      <c r="AV31" s="1795">
        <f t="shared" si="11"/>
        <v>0</v>
      </c>
      <c r="AW31" s="1795">
        <f t="shared" si="12"/>
        <v>0</v>
      </c>
      <c r="AX31" s="1795" t="str">
        <f t="shared" si="13"/>
        <v>19#住宅楼</v>
      </c>
      <c r="AY31" s="42">
        <f t="shared" si="14"/>
        <v>791.66</v>
      </c>
      <c r="AZ31" s="35">
        <f t="shared" si="15"/>
        <v>2983.6</v>
      </c>
      <c r="BA31" s="35">
        <f t="shared" si="16"/>
        <v>2964.38</v>
      </c>
      <c r="BB31" s="35">
        <f t="shared" si="17"/>
        <v>1682.52</v>
      </c>
      <c r="BC31" s="35">
        <f t="shared" si="18"/>
        <v>1281.8599999999999</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19.22</v>
      </c>
      <c r="BM31" s="35">
        <f t="shared" si="28"/>
        <v>0</v>
      </c>
      <c r="BN31" s="35">
        <f t="shared" si="29"/>
        <v>0</v>
      </c>
      <c r="BO31" s="35">
        <f t="shared" si="30"/>
        <v>0</v>
      </c>
      <c r="BP31" s="35">
        <f t="shared" si="31"/>
        <v>0</v>
      </c>
      <c r="BQ31" s="35">
        <f t="shared" si="32"/>
        <v>0</v>
      </c>
      <c r="BR31" s="35">
        <f t="shared" si="33"/>
        <v>19.22</v>
      </c>
      <c r="BS31" s="35">
        <f t="shared" si="34"/>
        <v>0</v>
      </c>
      <c r="BT31" s="43">
        <f t="shared" si="35"/>
        <v>0</v>
      </c>
    </row>
    <row r="32" spans="1:72">
      <c r="A32" s="9"/>
      <c r="B32" s="34"/>
      <c r="C32" s="2976" t="str">
        <f>规证整理!B40</f>
        <v>20#住宅楼</v>
      </c>
      <c r="D32" s="2211" t="s">
        <v>3145</v>
      </c>
      <c r="E32" s="16">
        <f t="shared" si="7"/>
        <v>1176.1199999999999</v>
      </c>
      <c r="F32" s="32"/>
      <c r="G32" s="33">
        <f t="shared" si="8"/>
        <v>4432.53</v>
      </c>
      <c r="H32" s="20">
        <f t="shared" si="9"/>
        <v>4409.4799999999996</v>
      </c>
      <c r="I32" s="2212">
        <f>规证整理!G40</f>
        <v>2380.6799999999998</v>
      </c>
      <c r="J32" s="39"/>
      <c r="K32" s="2212">
        <f>规证整理!H40</f>
        <v>2028.8</v>
      </c>
      <c r="L32" s="39"/>
      <c r="M32" s="39"/>
      <c r="N32" s="39"/>
      <c r="O32" s="39"/>
      <c r="P32" s="39"/>
      <c r="Q32" s="39"/>
      <c r="R32" s="39"/>
      <c r="S32" s="39"/>
      <c r="T32" s="39"/>
      <c r="U32" s="39"/>
      <c r="V32" s="39"/>
      <c r="W32" s="39"/>
      <c r="X32" s="39"/>
      <c r="Y32" s="39"/>
      <c r="Z32" s="39"/>
      <c r="AA32" s="39"/>
      <c r="AB32" s="39"/>
      <c r="AC32" s="35">
        <f t="shared" si="10"/>
        <v>23.05</v>
      </c>
      <c r="AD32" s="40"/>
      <c r="AE32" s="40"/>
      <c r="AF32" s="40"/>
      <c r="AG32" s="40"/>
      <c r="AH32" s="40"/>
      <c r="AI32" s="40"/>
      <c r="AJ32" s="40"/>
      <c r="AK32" s="40"/>
      <c r="AL32" s="40"/>
      <c r="AM32" s="40"/>
      <c r="AN32" s="2213">
        <f>规证整理!I40</f>
        <v>23.05</v>
      </c>
      <c r="AO32" s="40"/>
      <c r="AP32" s="40"/>
      <c r="AQ32" s="40"/>
      <c r="AR32" s="40"/>
      <c r="AS32" s="40"/>
      <c r="AT32" s="41"/>
      <c r="AU32" s="2217"/>
      <c r="AV32" s="1795">
        <f t="shared" si="11"/>
        <v>0</v>
      </c>
      <c r="AW32" s="1795">
        <f t="shared" si="12"/>
        <v>0</v>
      </c>
      <c r="AX32" s="1795" t="str">
        <f t="shared" si="13"/>
        <v>20#住宅楼</v>
      </c>
      <c r="AY32" s="42">
        <f t="shared" si="14"/>
        <v>1176.1199999999999</v>
      </c>
      <c r="AZ32" s="35">
        <f t="shared" si="15"/>
        <v>4432.53</v>
      </c>
      <c r="BA32" s="35">
        <f t="shared" si="16"/>
        <v>4409.4799999999996</v>
      </c>
      <c r="BB32" s="35">
        <f t="shared" si="17"/>
        <v>2380.6799999999998</v>
      </c>
      <c r="BC32" s="35">
        <f t="shared" si="18"/>
        <v>2028.8</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23.05</v>
      </c>
      <c r="BM32" s="35">
        <f t="shared" si="28"/>
        <v>0</v>
      </c>
      <c r="BN32" s="35">
        <f t="shared" si="29"/>
        <v>0</v>
      </c>
      <c r="BO32" s="35">
        <f t="shared" si="30"/>
        <v>0</v>
      </c>
      <c r="BP32" s="35">
        <f t="shared" si="31"/>
        <v>0</v>
      </c>
      <c r="BQ32" s="35">
        <f t="shared" si="32"/>
        <v>0</v>
      </c>
      <c r="BR32" s="35">
        <f t="shared" si="33"/>
        <v>23.05</v>
      </c>
      <c r="BS32" s="35">
        <f t="shared" si="34"/>
        <v>0</v>
      </c>
      <c r="BT32" s="43">
        <f t="shared" si="35"/>
        <v>0</v>
      </c>
    </row>
    <row r="33" spans="1:72">
      <c r="A33" s="9"/>
      <c r="B33" s="34"/>
      <c r="C33" s="2976" t="str">
        <f>规证整理!B41</f>
        <v>21#住宅楼</v>
      </c>
      <c r="D33" s="2211" t="s">
        <v>3145</v>
      </c>
      <c r="E33" s="16">
        <f t="shared" si="7"/>
        <v>791.96</v>
      </c>
      <c r="F33" s="32"/>
      <c r="G33" s="33">
        <f t="shared" si="8"/>
        <v>2984.73</v>
      </c>
      <c r="H33" s="20">
        <f t="shared" si="9"/>
        <v>2965.51</v>
      </c>
      <c r="I33" s="2212">
        <f>规证整理!G41</f>
        <v>1682.52</v>
      </c>
      <c r="J33" s="39"/>
      <c r="K33" s="2212">
        <f>规证整理!H41</f>
        <v>1282.99</v>
      </c>
      <c r="L33" s="39"/>
      <c r="M33" s="39"/>
      <c r="N33" s="39"/>
      <c r="O33" s="39"/>
      <c r="P33" s="39"/>
      <c r="Q33" s="39"/>
      <c r="R33" s="39"/>
      <c r="S33" s="39"/>
      <c r="T33" s="39"/>
      <c r="U33" s="39"/>
      <c r="V33" s="39"/>
      <c r="W33" s="39"/>
      <c r="X33" s="39"/>
      <c r="Y33" s="39"/>
      <c r="Z33" s="39"/>
      <c r="AA33" s="39"/>
      <c r="AB33" s="39"/>
      <c r="AC33" s="35">
        <f t="shared" si="10"/>
        <v>19.22</v>
      </c>
      <c r="AD33" s="40"/>
      <c r="AE33" s="40"/>
      <c r="AF33" s="40"/>
      <c r="AG33" s="40"/>
      <c r="AH33" s="40"/>
      <c r="AI33" s="40"/>
      <c r="AJ33" s="40"/>
      <c r="AK33" s="40"/>
      <c r="AL33" s="40"/>
      <c r="AM33" s="40"/>
      <c r="AN33" s="2213">
        <f>规证整理!I41</f>
        <v>19.22</v>
      </c>
      <c r="AO33" s="40"/>
      <c r="AP33" s="40"/>
      <c r="AQ33" s="40"/>
      <c r="AR33" s="40"/>
      <c r="AS33" s="40"/>
      <c r="AT33" s="41"/>
      <c r="AU33" s="2217"/>
      <c r="AV33" s="1795">
        <f t="shared" si="11"/>
        <v>0</v>
      </c>
      <c r="AW33" s="1795">
        <f t="shared" si="12"/>
        <v>0</v>
      </c>
      <c r="AX33" s="1795" t="str">
        <f t="shared" si="13"/>
        <v>21#住宅楼</v>
      </c>
      <c r="AY33" s="42">
        <f t="shared" si="14"/>
        <v>791.96</v>
      </c>
      <c r="AZ33" s="35">
        <f t="shared" si="15"/>
        <v>2984.73</v>
      </c>
      <c r="BA33" s="35">
        <f t="shared" si="16"/>
        <v>2965.51</v>
      </c>
      <c r="BB33" s="35">
        <f t="shared" si="17"/>
        <v>1682.52</v>
      </c>
      <c r="BC33" s="35">
        <f t="shared" si="18"/>
        <v>1282.99</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19.22</v>
      </c>
      <c r="BM33" s="35">
        <f t="shared" si="28"/>
        <v>0</v>
      </c>
      <c r="BN33" s="35">
        <f t="shared" si="29"/>
        <v>0</v>
      </c>
      <c r="BO33" s="35">
        <f t="shared" si="30"/>
        <v>0</v>
      </c>
      <c r="BP33" s="35">
        <f t="shared" si="31"/>
        <v>0</v>
      </c>
      <c r="BQ33" s="35">
        <f t="shared" si="32"/>
        <v>0</v>
      </c>
      <c r="BR33" s="35">
        <f t="shared" si="33"/>
        <v>19.22</v>
      </c>
      <c r="BS33" s="35">
        <f t="shared" si="34"/>
        <v>0</v>
      </c>
      <c r="BT33" s="43">
        <f t="shared" si="35"/>
        <v>0</v>
      </c>
    </row>
    <row r="34" spans="1:72" ht="28.5">
      <c r="A34" s="9"/>
      <c r="B34" s="34"/>
      <c r="C34" s="2976" t="str">
        <f>规证整理!B43</f>
        <v>地下车库三期</v>
      </c>
      <c r="D34" s="2977" t="s">
        <v>3145</v>
      </c>
      <c r="E34" s="16">
        <f t="shared" si="7"/>
        <v>1114.92</v>
      </c>
      <c r="F34" s="32"/>
      <c r="G34" s="33">
        <f t="shared" si="8"/>
        <v>4201.88</v>
      </c>
      <c r="H34" s="20">
        <f t="shared" si="9"/>
        <v>4201.88</v>
      </c>
      <c r="I34" s="39"/>
      <c r="J34" s="39"/>
      <c r="K34" s="39"/>
      <c r="L34" s="39"/>
      <c r="M34" s="2212">
        <f>规证整理!J43</f>
        <v>4201.88</v>
      </c>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7"/>
      <c r="AV34" s="1795">
        <f t="shared" si="11"/>
        <v>0</v>
      </c>
      <c r="AW34" s="1795">
        <f t="shared" si="12"/>
        <v>0</v>
      </c>
      <c r="AX34" s="1795" t="str">
        <f t="shared" si="13"/>
        <v>地下车库三期</v>
      </c>
      <c r="AY34" s="42">
        <f t="shared" si="14"/>
        <v>1114.92</v>
      </c>
      <c r="AZ34" s="35">
        <f t="shared" si="15"/>
        <v>4201.88</v>
      </c>
      <c r="BA34" s="35">
        <f t="shared" si="16"/>
        <v>4201.88</v>
      </c>
      <c r="BB34" s="35">
        <f t="shared" si="17"/>
        <v>0</v>
      </c>
      <c r="BC34" s="35">
        <f t="shared" si="18"/>
        <v>0</v>
      </c>
      <c r="BD34" s="35">
        <f t="shared" si="19"/>
        <v>4201.88</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ht="85.5">
      <c r="A35" s="9"/>
      <c r="B35" s="2976" t="str">
        <f>规证整理!A47</f>
        <v>《工程规划许可证》证号：建字第110114201600098号</v>
      </c>
      <c r="C35" s="2976" t="str">
        <f>规证整理!B51</f>
        <v>1#住宅楼</v>
      </c>
      <c r="D35" s="2977" t="s">
        <v>3145</v>
      </c>
      <c r="E35" s="16">
        <f t="shared" si="7"/>
        <v>3186.83</v>
      </c>
      <c r="F35" s="32"/>
      <c r="G35" s="33">
        <f t="shared" si="8"/>
        <v>12010.419999999955</v>
      </c>
      <c r="H35" s="20">
        <f t="shared" si="9"/>
        <v>9905.8999999999542</v>
      </c>
      <c r="I35" s="39"/>
      <c r="J35" s="39"/>
      <c r="K35" s="2212">
        <f>规证整理!I51</f>
        <v>4394.8</v>
      </c>
      <c r="L35" s="39"/>
      <c r="M35" s="39"/>
      <c r="N35" s="39"/>
      <c r="O35" s="2212">
        <f>规证整理!G51-'[1]西地块-限价房'!$J$797</f>
        <v>5511.0999999999549</v>
      </c>
      <c r="P35" s="39"/>
      <c r="Q35" s="39"/>
      <c r="R35" s="39"/>
      <c r="S35" s="39"/>
      <c r="T35" s="39"/>
      <c r="U35" s="39"/>
      <c r="V35" s="39"/>
      <c r="W35" s="39"/>
      <c r="X35" s="39"/>
      <c r="Y35" s="39"/>
      <c r="Z35" s="39"/>
      <c r="AA35" s="39"/>
      <c r="AB35" s="39"/>
      <c r="AC35" s="35">
        <f t="shared" si="10"/>
        <v>687.64</v>
      </c>
      <c r="AD35" s="2213">
        <f>规证整理!H51</f>
        <v>200.17</v>
      </c>
      <c r="AE35" s="40"/>
      <c r="AF35" s="40"/>
      <c r="AG35" s="40"/>
      <c r="AH35" s="40"/>
      <c r="AI35" s="40"/>
      <c r="AJ35" s="40"/>
      <c r="AK35" s="40"/>
      <c r="AL35" s="40"/>
      <c r="AM35" s="40"/>
      <c r="AN35" s="2213">
        <f>规证整理!J51</f>
        <v>487.47</v>
      </c>
      <c r="AO35" s="40"/>
      <c r="AP35" s="40"/>
      <c r="AQ35" s="40"/>
      <c r="AR35" s="40"/>
      <c r="AS35" s="40"/>
      <c r="AT35" s="2214">
        <f>规证整理!K51+规证整理!L51</f>
        <v>1416.88</v>
      </c>
      <c r="AU35" s="2217"/>
      <c r="AV35" s="1795">
        <f t="shared" si="11"/>
        <v>0</v>
      </c>
      <c r="AW35" s="1795" t="str">
        <f t="shared" si="12"/>
        <v>《工程规划许可证》证号：建字第110114201600098号</v>
      </c>
      <c r="AX35" s="1795" t="str">
        <f t="shared" si="13"/>
        <v>1#住宅楼</v>
      </c>
      <c r="AY35" s="42">
        <f t="shared" si="14"/>
        <v>2810.87</v>
      </c>
      <c r="AZ35" s="35">
        <f t="shared" si="15"/>
        <v>10593.539999999954</v>
      </c>
      <c r="BA35" s="35">
        <f t="shared" si="16"/>
        <v>9905.8999999999542</v>
      </c>
      <c r="BB35" s="35">
        <f t="shared" si="17"/>
        <v>0</v>
      </c>
      <c r="BC35" s="35">
        <f t="shared" si="18"/>
        <v>4394.8</v>
      </c>
      <c r="BD35" s="35">
        <f t="shared" si="19"/>
        <v>0</v>
      </c>
      <c r="BE35" s="35">
        <f t="shared" si="20"/>
        <v>5511.0999999999549</v>
      </c>
      <c r="BF35" s="35">
        <f t="shared" si="21"/>
        <v>0</v>
      </c>
      <c r="BG35" s="35">
        <f t="shared" si="22"/>
        <v>0</v>
      </c>
      <c r="BH35" s="35">
        <f t="shared" si="23"/>
        <v>0</v>
      </c>
      <c r="BI35" s="35">
        <f t="shared" si="24"/>
        <v>0</v>
      </c>
      <c r="BJ35" s="35">
        <f t="shared" si="25"/>
        <v>0</v>
      </c>
      <c r="BK35" s="35">
        <f t="shared" si="26"/>
        <v>0</v>
      </c>
      <c r="BL35" s="35">
        <f t="shared" si="27"/>
        <v>687.64</v>
      </c>
      <c r="BM35" s="35">
        <f t="shared" si="28"/>
        <v>200.17</v>
      </c>
      <c r="BN35" s="35">
        <f t="shared" si="29"/>
        <v>0</v>
      </c>
      <c r="BO35" s="35">
        <f t="shared" si="30"/>
        <v>0</v>
      </c>
      <c r="BP35" s="35">
        <f t="shared" si="31"/>
        <v>0</v>
      </c>
      <c r="BQ35" s="35">
        <f t="shared" si="32"/>
        <v>0</v>
      </c>
      <c r="BR35" s="35">
        <f t="shared" si="33"/>
        <v>487.47</v>
      </c>
      <c r="BS35" s="35">
        <f t="shared" si="34"/>
        <v>0</v>
      </c>
      <c r="BT35" s="43">
        <f t="shared" si="35"/>
        <v>0</v>
      </c>
    </row>
    <row r="36" spans="1:72">
      <c r="A36" s="9"/>
      <c r="B36" s="34"/>
      <c r="C36" s="2976" t="str">
        <f>规证整理!B52</f>
        <v>2#住宅楼</v>
      </c>
      <c r="D36" s="2977" t="s">
        <v>3145</v>
      </c>
      <c r="E36" s="16">
        <f t="shared" si="7"/>
        <v>3503.91</v>
      </c>
      <c r="F36" s="32"/>
      <c r="G36" s="33">
        <f t="shared" si="8"/>
        <v>13205.439999999971</v>
      </c>
      <c r="H36" s="20">
        <f t="shared" si="9"/>
        <v>12143.459999999972</v>
      </c>
      <c r="I36" s="39"/>
      <c r="J36" s="39"/>
      <c r="K36" s="2212">
        <f>规证整理!I52</f>
        <v>3363.33</v>
      </c>
      <c r="L36" s="39"/>
      <c r="M36" s="2212">
        <f>规证整理!N52</f>
        <v>3090.02</v>
      </c>
      <c r="N36" s="39"/>
      <c r="O36" s="2212">
        <f>规证整理!G52-'[1]西地块-限价房'!$J$798</f>
        <v>5690.1099999999715</v>
      </c>
      <c r="P36" s="39"/>
      <c r="Q36" s="39"/>
      <c r="R36" s="39"/>
      <c r="S36" s="39"/>
      <c r="T36" s="39"/>
      <c r="U36" s="39"/>
      <c r="V36" s="39"/>
      <c r="W36" s="39"/>
      <c r="X36" s="39"/>
      <c r="Y36" s="39"/>
      <c r="Z36" s="39"/>
      <c r="AA36" s="39"/>
      <c r="AB36" s="39"/>
      <c r="AC36" s="35">
        <f t="shared" si="10"/>
        <v>1061.98</v>
      </c>
      <c r="AD36" s="2213">
        <f>规证整理!H52</f>
        <v>216.51</v>
      </c>
      <c r="AE36" s="40"/>
      <c r="AF36" s="2213">
        <f>规证整理!M52</f>
        <v>259.64999999999998</v>
      </c>
      <c r="AG36" s="40"/>
      <c r="AH36" s="40"/>
      <c r="AI36" s="40"/>
      <c r="AJ36" s="40"/>
      <c r="AK36" s="40"/>
      <c r="AL36" s="40"/>
      <c r="AM36" s="40"/>
      <c r="AN36" s="2213">
        <f>规证整理!J52</f>
        <v>585.82000000000005</v>
      </c>
      <c r="AO36" s="40"/>
      <c r="AP36" s="40"/>
      <c r="AQ36" s="40"/>
      <c r="AR36" s="40"/>
      <c r="AS36" s="40"/>
      <c r="AT36" s="41"/>
      <c r="AU36" s="2217"/>
      <c r="AV36" s="1795">
        <f t="shared" si="11"/>
        <v>0</v>
      </c>
      <c r="AW36" s="1795">
        <f t="shared" si="12"/>
        <v>0</v>
      </c>
      <c r="AX36" s="1795" t="str">
        <f t="shared" si="13"/>
        <v>2#住宅楼</v>
      </c>
      <c r="AY36" s="42">
        <f t="shared" si="14"/>
        <v>3503.91</v>
      </c>
      <c r="AZ36" s="35">
        <f t="shared" si="15"/>
        <v>13205.439999999971</v>
      </c>
      <c r="BA36" s="35">
        <f t="shared" si="16"/>
        <v>12143.459999999972</v>
      </c>
      <c r="BB36" s="35">
        <f t="shared" si="17"/>
        <v>0</v>
      </c>
      <c r="BC36" s="35">
        <f t="shared" si="18"/>
        <v>3363.33</v>
      </c>
      <c r="BD36" s="35">
        <f t="shared" si="19"/>
        <v>3090.02</v>
      </c>
      <c r="BE36" s="35">
        <f t="shared" si="20"/>
        <v>5690.1099999999715</v>
      </c>
      <c r="BF36" s="35">
        <f t="shared" si="21"/>
        <v>0</v>
      </c>
      <c r="BG36" s="35">
        <f t="shared" si="22"/>
        <v>0</v>
      </c>
      <c r="BH36" s="35">
        <f t="shared" si="23"/>
        <v>0</v>
      </c>
      <c r="BI36" s="35">
        <f t="shared" si="24"/>
        <v>0</v>
      </c>
      <c r="BJ36" s="35">
        <f t="shared" si="25"/>
        <v>0</v>
      </c>
      <c r="BK36" s="35">
        <f t="shared" si="26"/>
        <v>0</v>
      </c>
      <c r="BL36" s="35">
        <f t="shared" si="27"/>
        <v>1061.98</v>
      </c>
      <c r="BM36" s="35">
        <f t="shared" si="28"/>
        <v>216.51</v>
      </c>
      <c r="BN36" s="35">
        <f t="shared" si="29"/>
        <v>259.64999999999998</v>
      </c>
      <c r="BO36" s="35">
        <f t="shared" si="30"/>
        <v>0</v>
      </c>
      <c r="BP36" s="35">
        <f t="shared" si="31"/>
        <v>0</v>
      </c>
      <c r="BQ36" s="35">
        <f t="shared" si="32"/>
        <v>0</v>
      </c>
      <c r="BR36" s="35">
        <f t="shared" si="33"/>
        <v>585.82000000000005</v>
      </c>
      <c r="BS36" s="35">
        <f t="shared" si="34"/>
        <v>0</v>
      </c>
      <c r="BT36" s="43">
        <f t="shared" si="35"/>
        <v>0</v>
      </c>
    </row>
    <row r="37" spans="1:72">
      <c r="A37" s="9"/>
      <c r="B37" s="34"/>
      <c r="C37" s="2976" t="str">
        <f>规证整理!B54</f>
        <v>22#变电所</v>
      </c>
      <c r="D37" s="2977" t="s">
        <v>3145</v>
      </c>
      <c r="E37" s="16">
        <f t="shared" si="7"/>
        <v>118.41</v>
      </c>
      <c r="F37" s="32"/>
      <c r="G37" s="33">
        <f t="shared" si="8"/>
        <v>446.27</v>
      </c>
      <c r="H37" s="20">
        <f t="shared" si="9"/>
        <v>0</v>
      </c>
      <c r="I37" s="39"/>
      <c r="J37" s="39"/>
      <c r="K37" s="39"/>
      <c r="L37" s="39"/>
      <c r="M37" s="39"/>
      <c r="N37" s="39"/>
      <c r="O37" s="39"/>
      <c r="P37" s="39"/>
      <c r="Q37" s="39"/>
      <c r="R37" s="39"/>
      <c r="S37" s="39"/>
      <c r="T37" s="39"/>
      <c r="U37" s="39"/>
      <c r="V37" s="39"/>
      <c r="W37" s="39"/>
      <c r="X37" s="39"/>
      <c r="Y37" s="39"/>
      <c r="Z37" s="39"/>
      <c r="AA37" s="39"/>
      <c r="AB37" s="39"/>
      <c r="AC37" s="35">
        <f t="shared" si="10"/>
        <v>446.27</v>
      </c>
      <c r="AD37" s="40"/>
      <c r="AE37" s="40"/>
      <c r="AF37" s="40"/>
      <c r="AG37" s="40"/>
      <c r="AH37" s="40"/>
      <c r="AI37" s="40"/>
      <c r="AJ37" s="40"/>
      <c r="AK37" s="40"/>
      <c r="AL37" s="2213">
        <f>规证整理!D54</f>
        <v>299.36</v>
      </c>
      <c r="AM37" s="2213"/>
      <c r="AN37" s="2213">
        <f>规证整理!E54</f>
        <v>146.91</v>
      </c>
      <c r="AO37" s="40"/>
      <c r="AP37" s="40"/>
      <c r="AQ37" s="40"/>
      <c r="AR37" s="40"/>
      <c r="AS37" s="40"/>
      <c r="AT37" s="41"/>
      <c r="AU37" s="2217"/>
      <c r="AV37" s="1795">
        <f t="shared" si="11"/>
        <v>0</v>
      </c>
      <c r="AW37" s="1795">
        <f t="shared" si="12"/>
        <v>0</v>
      </c>
      <c r="AX37" s="1795" t="str">
        <f t="shared" si="13"/>
        <v>22#变电所</v>
      </c>
      <c r="AY37" s="42">
        <f t="shared" si="14"/>
        <v>118.41</v>
      </c>
      <c r="AZ37" s="35">
        <f t="shared" si="15"/>
        <v>446.27</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446.27</v>
      </c>
      <c r="BM37" s="35">
        <f t="shared" si="28"/>
        <v>0</v>
      </c>
      <c r="BN37" s="35">
        <f t="shared" si="29"/>
        <v>0</v>
      </c>
      <c r="BO37" s="35">
        <f t="shared" si="30"/>
        <v>0</v>
      </c>
      <c r="BP37" s="35">
        <f t="shared" si="31"/>
        <v>0</v>
      </c>
      <c r="BQ37" s="35">
        <f t="shared" si="32"/>
        <v>299.36</v>
      </c>
      <c r="BR37" s="35">
        <f t="shared" si="33"/>
        <v>146.91</v>
      </c>
      <c r="BS37" s="35">
        <f t="shared" si="34"/>
        <v>0</v>
      </c>
      <c r="BT37" s="43">
        <f t="shared" si="35"/>
        <v>0</v>
      </c>
    </row>
    <row r="38" spans="1:72" ht="28.5">
      <c r="A38" s="9"/>
      <c r="B38" s="34"/>
      <c r="C38" s="2976" t="str">
        <f>规证整理!B55</f>
        <v>23#公共厕所</v>
      </c>
      <c r="D38" s="2977" t="s">
        <v>3145</v>
      </c>
      <c r="E38" s="16">
        <f t="shared" si="7"/>
        <v>23.6</v>
      </c>
      <c r="F38" s="32"/>
      <c r="G38" s="33">
        <f t="shared" si="8"/>
        <v>88.94</v>
      </c>
      <c r="H38" s="20">
        <f t="shared" si="9"/>
        <v>0</v>
      </c>
      <c r="I38" s="39"/>
      <c r="J38" s="39"/>
      <c r="K38" s="39"/>
      <c r="L38" s="39"/>
      <c r="M38" s="39"/>
      <c r="N38" s="39"/>
      <c r="O38" s="39"/>
      <c r="P38" s="39"/>
      <c r="Q38" s="39"/>
      <c r="R38" s="39"/>
      <c r="S38" s="39"/>
      <c r="T38" s="39"/>
      <c r="U38" s="39"/>
      <c r="V38" s="39"/>
      <c r="W38" s="39"/>
      <c r="X38" s="39"/>
      <c r="Y38" s="39"/>
      <c r="Z38" s="39"/>
      <c r="AA38" s="39"/>
      <c r="AB38" s="39"/>
      <c r="AC38" s="35">
        <f t="shared" si="10"/>
        <v>88.94</v>
      </c>
      <c r="AD38" s="40"/>
      <c r="AE38" s="40"/>
      <c r="AF38" s="40"/>
      <c r="AG38" s="40"/>
      <c r="AH38" s="40"/>
      <c r="AI38" s="40"/>
      <c r="AJ38" s="40"/>
      <c r="AK38" s="40"/>
      <c r="AL38" s="2213">
        <f>规证整理!D55</f>
        <v>88.94</v>
      </c>
      <c r="AM38" s="2213"/>
      <c r="AN38" s="2213"/>
      <c r="AO38" s="40"/>
      <c r="AP38" s="40"/>
      <c r="AQ38" s="40"/>
      <c r="AR38" s="40"/>
      <c r="AS38" s="40"/>
      <c r="AT38" s="41"/>
      <c r="AU38" s="2217"/>
      <c r="AV38" s="1795">
        <f t="shared" si="11"/>
        <v>0</v>
      </c>
      <c r="AW38" s="1795">
        <f t="shared" si="12"/>
        <v>0</v>
      </c>
      <c r="AX38" s="1795" t="str">
        <f t="shared" si="13"/>
        <v>23#公共厕所</v>
      </c>
      <c r="AY38" s="42">
        <f t="shared" si="14"/>
        <v>23.6</v>
      </c>
      <c r="AZ38" s="35">
        <f t="shared" si="15"/>
        <v>88.94</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88.94</v>
      </c>
      <c r="BM38" s="35">
        <f t="shared" si="28"/>
        <v>0</v>
      </c>
      <c r="BN38" s="35">
        <f t="shared" si="29"/>
        <v>0</v>
      </c>
      <c r="BO38" s="35">
        <f t="shared" si="30"/>
        <v>0</v>
      </c>
      <c r="BP38" s="35">
        <f t="shared" si="31"/>
        <v>0</v>
      </c>
      <c r="BQ38" s="35">
        <f t="shared" si="32"/>
        <v>88.94</v>
      </c>
      <c r="BR38" s="35">
        <f t="shared" si="33"/>
        <v>0</v>
      </c>
      <c r="BS38" s="35">
        <f t="shared" si="34"/>
        <v>0</v>
      </c>
      <c r="BT38" s="43">
        <f t="shared" si="35"/>
        <v>0</v>
      </c>
    </row>
    <row r="39" spans="1:72">
      <c r="A39" s="9"/>
      <c r="B39" s="34"/>
      <c r="C39" s="2976" t="str">
        <f>规证整理!B56</f>
        <v>地下车库</v>
      </c>
      <c r="D39" s="2977" t="s">
        <v>3145</v>
      </c>
      <c r="E39" s="16">
        <f t="shared" si="7"/>
        <v>5000.2299999999996</v>
      </c>
      <c r="F39" s="32"/>
      <c r="G39" s="33">
        <f t="shared" si="8"/>
        <v>18844.740000000002</v>
      </c>
      <c r="H39" s="20">
        <f t="shared" si="9"/>
        <v>7118.13</v>
      </c>
      <c r="I39" s="39"/>
      <c r="J39" s="39"/>
      <c r="K39" s="39"/>
      <c r="L39" s="39"/>
      <c r="M39" s="2212">
        <f>规证整理!N56</f>
        <v>7118.13</v>
      </c>
      <c r="N39" s="39"/>
      <c r="O39" s="39"/>
      <c r="P39" s="39"/>
      <c r="Q39" s="39"/>
      <c r="R39" s="39"/>
      <c r="S39" s="39"/>
      <c r="T39" s="39"/>
      <c r="U39" s="39"/>
      <c r="V39" s="39"/>
      <c r="W39" s="39"/>
      <c r="X39" s="39"/>
      <c r="Y39" s="39"/>
      <c r="Z39" s="39"/>
      <c r="AA39" s="39"/>
      <c r="AB39" s="39"/>
      <c r="AC39" s="35">
        <f t="shared" si="10"/>
        <v>916.08</v>
      </c>
      <c r="AD39" s="40"/>
      <c r="AE39" s="40"/>
      <c r="AF39" s="40"/>
      <c r="AG39" s="40"/>
      <c r="AH39" s="40"/>
      <c r="AI39" s="40"/>
      <c r="AJ39" s="40"/>
      <c r="AK39" s="40"/>
      <c r="AL39" s="40"/>
      <c r="AM39" s="40"/>
      <c r="AN39" s="2213">
        <f>规证整理!J56</f>
        <v>916.08</v>
      </c>
      <c r="AO39" s="40"/>
      <c r="AP39" s="40"/>
      <c r="AQ39" s="40"/>
      <c r="AR39" s="40"/>
      <c r="AS39" s="40"/>
      <c r="AT39" s="2214">
        <f>规证整理!K56+规证整理!L56</f>
        <v>10810.53</v>
      </c>
      <c r="AU39" s="2217"/>
      <c r="AV39" s="1795">
        <f t="shared" si="11"/>
        <v>0</v>
      </c>
      <c r="AW39" s="1795">
        <f t="shared" si="12"/>
        <v>0</v>
      </c>
      <c r="AX39" s="1795" t="str">
        <f t="shared" si="13"/>
        <v>地下车库</v>
      </c>
      <c r="AY39" s="42">
        <f t="shared" si="14"/>
        <v>2131.7800000000002</v>
      </c>
      <c r="AZ39" s="35">
        <f t="shared" si="15"/>
        <v>8034.21</v>
      </c>
      <c r="BA39" s="35">
        <f t="shared" si="16"/>
        <v>7118.13</v>
      </c>
      <c r="BB39" s="35">
        <f t="shared" si="17"/>
        <v>0</v>
      </c>
      <c r="BC39" s="35">
        <f t="shared" si="18"/>
        <v>0</v>
      </c>
      <c r="BD39" s="35">
        <f t="shared" si="19"/>
        <v>7118.13</v>
      </c>
      <c r="BE39" s="35">
        <f t="shared" si="20"/>
        <v>0</v>
      </c>
      <c r="BF39" s="35">
        <f t="shared" si="21"/>
        <v>0</v>
      </c>
      <c r="BG39" s="35">
        <f t="shared" si="22"/>
        <v>0</v>
      </c>
      <c r="BH39" s="35">
        <f t="shared" si="23"/>
        <v>0</v>
      </c>
      <c r="BI39" s="35">
        <f t="shared" si="24"/>
        <v>0</v>
      </c>
      <c r="BJ39" s="35">
        <f t="shared" si="25"/>
        <v>0</v>
      </c>
      <c r="BK39" s="35">
        <f t="shared" si="26"/>
        <v>0</v>
      </c>
      <c r="BL39" s="35">
        <f t="shared" si="27"/>
        <v>916.08</v>
      </c>
      <c r="BM39" s="35">
        <f t="shared" si="28"/>
        <v>0</v>
      </c>
      <c r="BN39" s="35">
        <f t="shared" si="29"/>
        <v>0</v>
      </c>
      <c r="BO39" s="35">
        <f t="shared" si="30"/>
        <v>0</v>
      </c>
      <c r="BP39" s="35">
        <f t="shared" si="31"/>
        <v>0</v>
      </c>
      <c r="BQ39" s="35">
        <f t="shared" si="32"/>
        <v>0</v>
      </c>
      <c r="BR39" s="35">
        <f t="shared" si="33"/>
        <v>916.08</v>
      </c>
      <c r="BS39" s="35">
        <f t="shared" si="34"/>
        <v>0</v>
      </c>
      <c r="BT39" s="43">
        <f t="shared" si="35"/>
        <v>0</v>
      </c>
    </row>
    <row r="40" spans="1:72" ht="28.5">
      <c r="A40" s="9"/>
      <c r="B40" s="34"/>
      <c r="C40" s="2976" t="s">
        <v>3157</v>
      </c>
      <c r="D40" s="2977" t="s">
        <v>3145</v>
      </c>
      <c r="E40" s="16">
        <f t="shared" si="7"/>
        <v>74.69</v>
      </c>
      <c r="F40" s="32"/>
      <c r="G40" s="33">
        <f t="shared" si="8"/>
        <v>281.49</v>
      </c>
      <c r="H40" s="20">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2214">
        <f>SUM(规证整理!C57:C61)</f>
        <v>281.49</v>
      </c>
      <c r="AU40" s="2217"/>
      <c r="AV40" s="1795">
        <f t="shared" si="11"/>
        <v>0</v>
      </c>
      <c r="AW40" s="1795">
        <f t="shared" si="12"/>
        <v>0</v>
      </c>
      <c r="AX40" s="1795" t="str">
        <f t="shared" si="13"/>
        <v>2#-6#人防出入口</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7"/>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7"/>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7"/>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7"/>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7"/>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7"/>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7"/>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7"/>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7"/>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7"/>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7"/>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7"/>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7"/>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7"/>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7"/>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7"/>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7"/>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7"/>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7"/>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7"/>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7"/>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7"/>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7"/>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7"/>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7"/>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7"/>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7"/>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7"/>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7"/>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7"/>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7"/>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7"/>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7"/>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7"/>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7"/>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7"/>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7"/>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7"/>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7"/>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7"/>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7"/>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7"/>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7"/>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7"/>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7"/>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7"/>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7"/>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7"/>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7"/>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7"/>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7"/>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7"/>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7"/>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7"/>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7"/>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7"/>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7"/>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7"/>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7"/>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7"/>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7"/>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7"/>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7"/>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7"/>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7"/>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7"/>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7"/>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7"/>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7"/>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2"/>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2"/>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2"/>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7"/>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7"/>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7"/>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7"/>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7"/>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7"/>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7"/>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7"/>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7"/>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7"/>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7"/>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7"/>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7"/>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7"/>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7"/>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7"/>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7"/>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7"/>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7"/>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7"/>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7"/>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7"/>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7"/>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7"/>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7"/>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7"/>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7"/>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7"/>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7"/>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7"/>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7"/>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7"/>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7"/>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7"/>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7"/>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7"/>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7"/>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7"/>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7"/>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7"/>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7"/>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7"/>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7"/>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7"/>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7"/>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7"/>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7"/>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7"/>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7"/>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7"/>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7"/>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7"/>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7"/>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7"/>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7"/>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7"/>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7"/>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7"/>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7"/>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7"/>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7"/>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7"/>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7"/>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7"/>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7"/>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7"/>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7"/>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7"/>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7"/>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7"/>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7"/>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7"/>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7"/>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7"/>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7"/>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7"/>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7"/>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7"/>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7"/>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7"/>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7"/>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7"/>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7"/>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7"/>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7"/>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7"/>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7"/>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7"/>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7"/>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7"/>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7"/>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7"/>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2"/>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2"/>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2"/>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7"/>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7"/>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7"/>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7"/>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7"/>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7"/>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7"/>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7"/>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7"/>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7"/>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7"/>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7"/>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7"/>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7"/>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7"/>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7"/>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7"/>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7"/>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7"/>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7"/>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7"/>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7"/>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7"/>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7"/>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7"/>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7"/>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7"/>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7"/>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7"/>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7"/>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7"/>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7"/>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7"/>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7"/>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7"/>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7"/>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7"/>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7"/>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7"/>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7"/>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7"/>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7"/>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7"/>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7"/>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7"/>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7"/>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7"/>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7"/>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7"/>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7"/>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7"/>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7"/>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7"/>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7"/>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7"/>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7"/>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7"/>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7"/>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7"/>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7"/>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7"/>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7"/>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7"/>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7"/>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7"/>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7"/>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7"/>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7"/>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7"/>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7"/>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7"/>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7"/>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7"/>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7"/>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7"/>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7"/>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7"/>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7"/>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7"/>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7"/>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7"/>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7"/>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7"/>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7"/>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7"/>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7"/>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7"/>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7"/>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7"/>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7"/>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7"/>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7"/>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2"/>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2"/>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2"/>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7"/>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7"/>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7"/>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7"/>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7"/>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7"/>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7"/>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7"/>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7"/>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7"/>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7"/>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7"/>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7"/>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7"/>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7"/>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7"/>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7"/>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7"/>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7"/>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7"/>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7"/>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7"/>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7"/>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7"/>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7"/>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7"/>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7"/>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7"/>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7"/>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7"/>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7"/>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7"/>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7"/>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7"/>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7"/>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7"/>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7"/>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7"/>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7"/>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7"/>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7"/>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7"/>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7"/>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7"/>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7"/>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7"/>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7"/>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7"/>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7"/>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7"/>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7"/>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7"/>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7"/>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7"/>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7"/>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7"/>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7"/>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7"/>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7"/>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7"/>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7"/>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7"/>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7"/>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7"/>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7"/>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7"/>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7"/>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7"/>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7"/>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7"/>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7"/>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7"/>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7"/>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7"/>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7"/>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7"/>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7"/>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7"/>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7"/>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7"/>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7"/>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7"/>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7"/>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7"/>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7"/>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7"/>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7"/>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7"/>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7"/>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7"/>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7"/>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7"/>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2"/>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2"/>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2"/>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7"/>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7"/>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7"/>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7"/>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7"/>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7"/>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7"/>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7"/>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7"/>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7"/>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7"/>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7"/>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7"/>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7"/>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7"/>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7"/>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7"/>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7"/>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7"/>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7"/>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7"/>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7"/>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7"/>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7"/>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7"/>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7"/>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7"/>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7"/>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7"/>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7"/>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7"/>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7"/>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7"/>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7"/>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7"/>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7"/>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7"/>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7"/>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7"/>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7"/>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7"/>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7"/>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7"/>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7"/>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7"/>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7"/>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7"/>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7"/>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7"/>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7"/>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7"/>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7"/>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7"/>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7"/>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7"/>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7"/>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7"/>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7"/>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7"/>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7"/>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7"/>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7"/>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7"/>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7"/>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7"/>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7"/>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7"/>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7"/>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7"/>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7"/>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7"/>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7"/>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7"/>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7"/>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7"/>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7"/>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7"/>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7"/>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7"/>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7"/>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7"/>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7"/>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7"/>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7"/>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7"/>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7"/>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7"/>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7"/>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7"/>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7"/>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7"/>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7"/>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2"/>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2"/>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2"/>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7"/>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7"/>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7"/>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7"/>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7"/>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7"/>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7"/>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7"/>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7"/>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7"/>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7"/>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7"/>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7"/>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7"/>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7"/>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7"/>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7"/>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7"/>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7"/>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7"/>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7"/>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7"/>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7"/>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7"/>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7"/>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7"/>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7"/>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7"/>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7"/>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7"/>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7"/>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7"/>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7"/>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7"/>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7"/>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7"/>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7"/>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7"/>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7"/>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7"/>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7"/>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7"/>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7"/>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7"/>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7"/>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7"/>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7"/>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7"/>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7"/>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7"/>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7"/>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7"/>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7"/>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7"/>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7"/>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7"/>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7"/>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7"/>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7"/>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7"/>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7"/>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7"/>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7"/>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7"/>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7"/>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7"/>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7"/>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7"/>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7"/>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7"/>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7"/>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7"/>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7"/>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7"/>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7"/>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7"/>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7"/>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7"/>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7"/>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7"/>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7"/>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7"/>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7"/>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7"/>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7"/>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7"/>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7"/>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7"/>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7"/>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7"/>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7"/>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7"/>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2"/>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2"/>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2"/>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0" customFormat="1">
      <c r="A588" s="2218"/>
      <c r="B588" s="2218"/>
      <c r="C588" s="2218"/>
      <c r="D588" s="2218"/>
      <c r="E588" s="2219"/>
      <c r="F588" s="2219"/>
      <c r="G588" s="2218"/>
      <c r="H588" s="2219"/>
      <c r="I588" s="2219"/>
      <c r="J588" s="2219"/>
      <c r="K588" s="2219"/>
      <c r="L588" s="2219"/>
      <c r="M588" s="2219"/>
      <c r="N588" s="2219"/>
      <c r="O588" s="2219"/>
      <c r="P588" s="2219"/>
      <c r="Q588" s="2219"/>
      <c r="R588" s="2219"/>
      <c r="S588" s="2219"/>
      <c r="T588" s="2219"/>
      <c r="U588" s="2219"/>
      <c r="V588" s="2219"/>
      <c r="W588" s="2219"/>
      <c r="X588" s="2219"/>
      <c r="Y588" s="2219"/>
      <c r="Z588" s="2219"/>
      <c r="AA588" s="2219"/>
      <c r="AB588" s="2219"/>
      <c r="AC588" s="2219"/>
      <c r="AD588" s="2219"/>
      <c r="AE588" s="2219"/>
      <c r="AF588" s="2219"/>
      <c r="AG588" s="2219"/>
      <c r="AH588" s="2219"/>
      <c r="AI588" s="2219"/>
      <c r="AJ588" s="2219"/>
      <c r="AK588" s="2219"/>
      <c r="AL588" s="2219"/>
      <c r="AM588" s="2219"/>
      <c r="AN588" s="2219"/>
      <c r="AO588" s="2219"/>
      <c r="AP588" s="2219"/>
      <c r="AQ588" s="2219"/>
      <c r="AR588" s="2219"/>
      <c r="AS588" s="2219"/>
      <c r="AT588" s="2219"/>
      <c r="AU588" s="2218"/>
      <c r="AV588" s="2218"/>
      <c r="AW588" s="2218"/>
      <c r="AX588" s="2218"/>
    </row>
    <row r="589" spans="1:72" s="2221" customFormat="1">
      <c r="C589" s="2222"/>
      <c r="D589" s="2222"/>
    </row>
    <row r="590" spans="1:72" s="2221" customFormat="1">
      <c r="C590" s="2222"/>
      <c r="D590" s="2222"/>
    </row>
    <row r="593" spans="2:2">
      <c r="B593" s="222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81" t="s">
        <v>0</v>
      </c>
      <c r="B1" s="3181" t="s">
        <v>4</v>
      </c>
      <c r="C1" s="3181" t="s">
        <v>5</v>
      </c>
      <c r="D1" s="3182" t="s">
        <v>53</v>
      </c>
      <c r="E1" s="3182" t="s">
        <v>54</v>
      </c>
      <c r="F1" s="3182"/>
      <c r="G1" s="3182"/>
      <c r="H1" s="3182"/>
      <c r="I1" s="3182"/>
      <c r="J1" s="3182"/>
      <c r="K1" s="3182"/>
      <c r="L1" s="3182"/>
      <c r="M1" s="3182"/>
    </row>
    <row r="2" spans="1:13" ht="27" customHeight="1">
      <c r="A2" s="3181"/>
      <c r="B2" s="3181"/>
      <c r="C2" s="3181"/>
      <c r="D2" s="3182"/>
      <c r="E2" s="3182" t="s">
        <v>37</v>
      </c>
      <c r="F2" s="3182" t="s">
        <v>38</v>
      </c>
      <c r="G2" s="3182"/>
      <c r="H2" s="3182"/>
      <c r="I2" s="3182"/>
      <c r="J2" s="3182" t="s">
        <v>39</v>
      </c>
      <c r="K2" s="3182"/>
      <c r="L2" s="3182"/>
      <c r="M2" s="3182"/>
    </row>
    <row r="3" spans="1:13" ht="28.5">
      <c r="A3" s="3181"/>
      <c r="B3" s="3181"/>
      <c r="C3" s="3181"/>
      <c r="D3" s="3182"/>
      <c r="E3" s="318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82" t="s">
        <v>55</v>
      </c>
      <c r="B9" s="3182"/>
      <c r="C9" s="318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tabSelected="1" topLeftCell="A67" workbookViewId="0">
      <selection activeCell="P77" sqref="B77:P78"/>
    </sheetView>
  </sheetViews>
  <sheetFormatPr defaultRowHeight="13.5"/>
  <cols>
    <col min="1" max="1" width="9" style="2949"/>
    <col min="2" max="2" width="19.625" style="2949" customWidth="1"/>
    <col min="3" max="3" width="13.25" style="2949" customWidth="1"/>
    <col min="4" max="4" width="10.875" style="2949" customWidth="1"/>
    <col min="5" max="5" width="10.5" style="2949" customWidth="1"/>
    <col min="6" max="6" width="9" style="1635"/>
    <col min="7" max="7" width="10.625" style="2949" customWidth="1"/>
    <col min="8" max="10" width="9" style="2949"/>
    <col min="11" max="12" width="9" style="1635"/>
    <col min="13" max="13" width="9" style="2949"/>
    <col min="14" max="14" width="15.875" style="2949" customWidth="1"/>
    <col min="15" max="16384" width="9" style="1635"/>
  </cols>
  <sheetData>
    <row r="1" spans="1:15">
      <c r="A1" s="2974" t="s">
        <v>3140</v>
      </c>
    </row>
    <row r="2" spans="1:15">
      <c r="A2" s="2961" t="s">
        <v>3137</v>
      </c>
      <c r="B2" s="2951"/>
    </row>
    <row r="3" spans="1:15">
      <c r="A3" s="3191" t="s">
        <v>3099</v>
      </c>
      <c r="B3" s="3191" t="s">
        <v>3100</v>
      </c>
      <c r="C3" s="3191" t="s">
        <v>3101</v>
      </c>
      <c r="D3" s="3192" t="s">
        <v>3102</v>
      </c>
      <c r="E3" s="3192"/>
      <c r="F3" s="3186" t="s">
        <v>3103</v>
      </c>
      <c r="G3" s="2952" t="s">
        <v>3104</v>
      </c>
      <c r="H3" s="3192" t="s">
        <v>3105</v>
      </c>
      <c r="I3" s="3192"/>
      <c r="J3" s="3192"/>
      <c r="K3" s="3192"/>
      <c r="N3" s="2981" t="s">
        <v>3181</v>
      </c>
      <c r="O3" s="1635">
        <f>D8+D22+D42</f>
        <v>42719.87</v>
      </c>
    </row>
    <row r="4" spans="1:15">
      <c r="A4" s="3191"/>
      <c r="B4" s="3191"/>
      <c r="C4" s="3191"/>
      <c r="D4" s="2952" t="s">
        <v>3104</v>
      </c>
      <c r="E4" s="2952" t="s">
        <v>3105</v>
      </c>
      <c r="F4" s="3187"/>
      <c r="G4" s="2952" t="s">
        <v>3106</v>
      </c>
      <c r="H4" s="2952" t="s">
        <v>3107</v>
      </c>
      <c r="I4" s="2952" t="s">
        <v>3108</v>
      </c>
      <c r="J4" s="2953" t="s">
        <v>3109</v>
      </c>
      <c r="K4" s="2953" t="s">
        <v>3110</v>
      </c>
      <c r="N4" s="2981" t="s">
        <v>3182</v>
      </c>
      <c r="O4" s="1635">
        <f>D11+D25+D45+D63</f>
        <v>115825</v>
      </c>
    </row>
    <row r="5" spans="1:15">
      <c r="A5" s="2952">
        <v>1</v>
      </c>
      <c r="B5" s="2952" t="s">
        <v>3111</v>
      </c>
      <c r="C5" s="2952">
        <v>4628.67</v>
      </c>
      <c r="D5" s="2952">
        <v>2431.02</v>
      </c>
      <c r="E5" s="2952">
        <v>2197.65</v>
      </c>
      <c r="G5" s="2952">
        <v>2431.02</v>
      </c>
      <c r="H5" s="2952">
        <v>2167.2600000000002</v>
      </c>
      <c r="I5" s="2952">
        <v>30.39</v>
      </c>
      <c r="J5" s="2952"/>
      <c r="K5" s="2956"/>
      <c r="N5" s="2981" t="s">
        <v>3183</v>
      </c>
      <c r="O5" s="1635">
        <f>O3/O4*'数据-基础表'!A3</f>
        <v>12970.639785337102</v>
      </c>
    </row>
    <row r="6" spans="1:15">
      <c r="A6" s="2952">
        <v>2</v>
      </c>
      <c r="B6" s="2952" t="s">
        <v>3112</v>
      </c>
      <c r="C6" s="2952">
        <v>4628.67</v>
      </c>
      <c r="D6" s="2952">
        <v>2431.02</v>
      </c>
      <c r="E6" s="2952">
        <v>2197.65</v>
      </c>
      <c r="G6" s="2952">
        <v>2431.02</v>
      </c>
      <c r="H6" s="2952">
        <v>2174.7800000000002</v>
      </c>
      <c r="I6" s="2952">
        <v>22.87</v>
      </c>
      <c r="J6" s="2952"/>
      <c r="K6" s="2956"/>
      <c r="O6" s="1635">
        <f>ROUND(O3/O5,2)</f>
        <v>3.29</v>
      </c>
    </row>
    <row r="7" spans="1:15">
      <c r="A7" s="2952">
        <v>3</v>
      </c>
      <c r="B7" s="2952" t="s">
        <v>3113</v>
      </c>
      <c r="C7" s="2952">
        <v>4628.67</v>
      </c>
      <c r="D7" s="2952">
        <v>2431.02</v>
      </c>
      <c r="E7" s="2952">
        <v>2197.65</v>
      </c>
      <c r="G7" s="2952">
        <v>2431.02</v>
      </c>
      <c r="H7" s="2952">
        <v>2167.2600000000002</v>
      </c>
      <c r="I7" s="2952">
        <v>30.39</v>
      </c>
      <c r="J7" s="2952"/>
      <c r="K7" s="2956"/>
    </row>
    <row r="8" spans="1:15">
      <c r="A8" s="3188" t="s">
        <v>3114</v>
      </c>
      <c r="B8" s="3188"/>
      <c r="C8" s="2957">
        <f>SUM(C5:C7)</f>
        <v>13886.01</v>
      </c>
      <c r="D8" s="2957">
        <f t="shared" ref="D8:E8" si="0">SUM(D5:D7)</f>
        <v>7293.0599999999995</v>
      </c>
      <c r="E8" s="2957">
        <f t="shared" si="0"/>
        <v>6592.9500000000007</v>
      </c>
      <c r="F8" s="2949"/>
      <c r="G8" s="2957">
        <f t="shared" ref="G8:I8" si="1">SUM(G5:G7)</f>
        <v>7293.0599999999995</v>
      </c>
      <c r="H8" s="2957">
        <f t="shared" si="1"/>
        <v>6509.3000000000011</v>
      </c>
      <c r="I8" s="2957">
        <f t="shared" si="1"/>
        <v>83.65</v>
      </c>
      <c r="J8" s="2952"/>
      <c r="K8" s="2952"/>
    </row>
    <row r="9" spans="1:15">
      <c r="A9" s="2952">
        <v>4</v>
      </c>
      <c r="B9" s="2952" t="s">
        <v>3115</v>
      </c>
      <c r="C9" s="2952">
        <v>4426.13</v>
      </c>
      <c r="D9" s="2952"/>
      <c r="E9" s="2952">
        <v>4426.13</v>
      </c>
      <c r="G9" s="2952"/>
      <c r="H9" s="2952"/>
      <c r="I9" s="2952"/>
      <c r="J9" s="2952">
        <v>4278.43</v>
      </c>
      <c r="K9" s="2952">
        <v>147.69999999999999</v>
      </c>
    </row>
    <row r="10" spans="1:15">
      <c r="A10" s="3188" t="s">
        <v>3114</v>
      </c>
      <c r="B10" s="3188"/>
      <c r="C10" s="2957">
        <f>C9</f>
        <v>4426.13</v>
      </c>
      <c r="D10" s="2957"/>
      <c r="E10" s="2958">
        <f t="shared" ref="E10" si="2">E9</f>
        <v>4426.13</v>
      </c>
      <c r="F10" s="2966"/>
      <c r="G10" s="2967"/>
      <c r="H10" s="2957"/>
      <c r="I10" s="2957"/>
      <c r="J10" s="2957">
        <f t="shared" ref="J10:K10" si="3">J9</f>
        <v>4278.43</v>
      </c>
      <c r="K10" s="2957">
        <f t="shared" si="3"/>
        <v>147.69999999999999</v>
      </c>
    </row>
    <row r="11" spans="1:15">
      <c r="A11" s="3188" t="s">
        <v>3098</v>
      </c>
      <c r="B11" s="3188"/>
      <c r="C11" s="2957">
        <f>C8+C10</f>
        <v>18312.14</v>
      </c>
      <c r="D11" s="2957">
        <f t="shared" ref="D11:E11" si="4">D8+D10</f>
        <v>7293.0599999999995</v>
      </c>
      <c r="E11" s="2957">
        <f t="shared" si="4"/>
        <v>11019.080000000002</v>
      </c>
      <c r="G11" s="2957">
        <f>G8+G10</f>
        <v>7293.0599999999995</v>
      </c>
      <c r="H11" s="2957">
        <f t="shared" ref="H11:K11" si="5">H8+H10</f>
        <v>6509.3000000000011</v>
      </c>
      <c r="I11" s="2957">
        <f t="shared" si="5"/>
        <v>83.65</v>
      </c>
      <c r="J11" s="2957">
        <f t="shared" si="5"/>
        <v>4278.43</v>
      </c>
      <c r="K11" s="2957">
        <f t="shared" si="5"/>
        <v>147.69999999999999</v>
      </c>
    </row>
    <row r="13" spans="1:15">
      <c r="A13" s="2974" t="s">
        <v>3141</v>
      </c>
      <c r="M13" s="1635"/>
      <c r="N13" s="1635"/>
    </row>
    <row r="14" spans="1:15">
      <c r="A14" s="2950" t="s">
        <v>3049</v>
      </c>
      <c r="B14" s="2951"/>
      <c r="M14" s="1635"/>
      <c r="N14" s="1635"/>
    </row>
    <row r="15" spans="1:15">
      <c r="A15" s="3186" t="s">
        <v>3050</v>
      </c>
      <c r="B15" s="3186" t="s">
        <v>3051</v>
      </c>
      <c r="C15" s="3186" t="s">
        <v>3052</v>
      </c>
      <c r="D15" s="3183" t="s">
        <v>3053</v>
      </c>
      <c r="E15" s="3185"/>
      <c r="F15" s="3186" t="s">
        <v>3054</v>
      </c>
      <c r="G15" s="2952" t="s">
        <v>3055</v>
      </c>
      <c r="H15" s="3183" t="s">
        <v>3056</v>
      </c>
      <c r="I15" s="3184"/>
      <c r="J15" s="3184"/>
      <c r="K15" s="3185"/>
      <c r="M15" s="1635"/>
      <c r="N15" s="1635"/>
    </row>
    <row r="16" spans="1:15">
      <c r="A16" s="3187"/>
      <c r="B16" s="3187"/>
      <c r="C16" s="3187"/>
      <c r="D16" s="2952" t="s">
        <v>3055</v>
      </c>
      <c r="E16" s="2952" t="s">
        <v>3056</v>
      </c>
      <c r="F16" s="3187"/>
      <c r="G16" s="2952" t="s">
        <v>3057</v>
      </c>
      <c r="H16" s="2952" t="s">
        <v>3058</v>
      </c>
      <c r="I16" s="2952" t="s">
        <v>3059</v>
      </c>
      <c r="J16" s="2953" t="s">
        <v>3060</v>
      </c>
      <c r="K16" s="2953" t="s">
        <v>3061</v>
      </c>
      <c r="M16" s="1635"/>
      <c r="N16" s="1635"/>
    </row>
    <row r="17" spans="1:14">
      <c r="A17" s="2952">
        <v>1</v>
      </c>
      <c r="B17" s="2952" t="s">
        <v>3062</v>
      </c>
      <c r="C17" s="2952">
        <v>4930.59</v>
      </c>
      <c r="D17" s="2952">
        <v>3517.57</v>
      </c>
      <c r="E17" s="2952">
        <v>1413.02</v>
      </c>
      <c r="F17" s="2954"/>
      <c r="G17" s="2952">
        <v>3517.57</v>
      </c>
      <c r="H17" s="2952">
        <v>1386.09</v>
      </c>
      <c r="I17" s="2955">
        <v>26.93</v>
      </c>
      <c r="J17" s="2952"/>
      <c r="K17" s="2956"/>
      <c r="M17" s="1635"/>
      <c r="N17" s="1635"/>
    </row>
    <row r="18" spans="1:14">
      <c r="A18" s="2952">
        <v>2</v>
      </c>
      <c r="B18" s="2952" t="s">
        <v>3063</v>
      </c>
      <c r="C18" s="2952">
        <v>4940.05</v>
      </c>
      <c r="D18" s="2952">
        <v>3163.92</v>
      </c>
      <c r="E18" s="2952">
        <v>1776.13</v>
      </c>
      <c r="F18" s="2954"/>
      <c r="G18" s="2952">
        <v>3163.92</v>
      </c>
      <c r="H18" s="2952">
        <v>1776.13</v>
      </c>
      <c r="I18" s="2955"/>
      <c r="J18" s="2952"/>
      <c r="K18" s="2956"/>
      <c r="M18" s="1635"/>
      <c r="N18" s="1635"/>
    </row>
    <row r="19" spans="1:14">
      <c r="A19" s="2952">
        <v>3</v>
      </c>
      <c r="B19" s="2952" t="s">
        <v>3064</v>
      </c>
      <c r="C19" s="2952">
        <v>3316.51</v>
      </c>
      <c r="D19" s="2952">
        <v>2381.88</v>
      </c>
      <c r="E19" s="2952">
        <v>934.63</v>
      </c>
      <c r="F19" s="2954"/>
      <c r="G19" s="2952">
        <v>2381.88</v>
      </c>
      <c r="H19" s="2952">
        <v>907.7</v>
      </c>
      <c r="I19" s="2955">
        <v>26.93</v>
      </c>
      <c r="J19" s="2952"/>
      <c r="K19" s="2956"/>
      <c r="M19" s="1635"/>
      <c r="N19" s="1635"/>
    </row>
    <row r="20" spans="1:14">
      <c r="A20" s="2952">
        <v>4</v>
      </c>
      <c r="B20" s="2952" t="s">
        <v>3065</v>
      </c>
      <c r="C20" s="2952">
        <v>3961.43</v>
      </c>
      <c r="D20" s="2952">
        <v>2315.8200000000002</v>
      </c>
      <c r="E20" s="2952">
        <v>1645.61</v>
      </c>
      <c r="F20" s="2954"/>
      <c r="G20" s="2952">
        <v>2315.8200000000002</v>
      </c>
      <c r="H20" s="2952">
        <v>1617.2</v>
      </c>
      <c r="I20" s="2955">
        <v>28.41</v>
      </c>
      <c r="J20" s="2952"/>
      <c r="K20" s="2956"/>
      <c r="M20" s="1635"/>
      <c r="N20" s="1635"/>
    </row>
    <row r="21" spans="1:14">
      <c r="A21" s="2952">
        <v>5</v>
      </c>
      <c r="B21" s="2952" t="s">
        <v>3066</v>
      </c>
      <c r="C21" s="2952">
        <v>3963.9</v>
      </c>
      <c r="D21" s="2952">
        <v>2315.8200000000002</v>
      </c>
      <c r="E21" s="2952">
        <v>1648.08</v>
      </c>
      <c r="F21" s="2954"/>
      <c r="G21" s="2952">
        <v>2315.8200000000002</v>
      </c>
      <c r="H21" s="2952">
        <v>1619.67</v>
      </c>
      <c r="I21" s="2955">
        <v>28.41</v>
      </c>
      <c r="J21" s="2952"/>
      <c r="K21" s="2956"/>
      <c r="M21" s="1635"/>
      <c r="N21" s="1635"/>
    </row>
    <row r="22" spans="1:14">
      <c r="A22" s="3189" t="s">
        <v>3067</v>
      </c>
      <c r="B22" s="3190"/>
      <c r="C22" s="2957">
        <f>SUM(C17:C21)</f>
        <v>21112.48</v>
      </c>
      <c r="D22" s="2958">
        <f t="shared" ref="D22:E22" si="6">SUM(D17:D21)</f>
        <v>13695.009999999998</v>
      </c>
      <c r="E22" s="2957">
        <f t="shared" si="6"/>
        <v>7417.4699999999993</v>
      </c>
      <c r="F22" s="2959"/>
      <c r="G22" s="2957">
        <f t="shared" ref="G22:I22" si="7">SUM(G17:G21)</f>
        <v>13695.009999999998</v>
      </c>
      <c r="H22" s="2957">
        <f t="shared" si="7"/>
        <v>7306.79</v>
      </c>
      <c r="I22" s="2958">
        <f t="shared" si="7"/>
        <v>110.67999999999999</v>
      </c>
      <c r="J22" s="2952"/>
      <c r="K22" s="2956"/>
      <c r="M22" s="1635"/>
      <c r="N22" s="1635"/>
    </row>
    <row r="23" spans="1:14">
      <c r="A23" s="2952">
        <v>6</v>
      </c>
      <c r="B23" s="2952" t="s">
        <v>3068</v>
      </c>
      <c r="C23" s="2952">
        <v>9044.26</v>
      </c>
      <c r="D23" s="2952"/>
      <c r="E23" s="2952">
        <v>9044.26</v>
      </c>
      <c r="F23" s="2960"/>
      <c r="G23" s="2952"/>
      <c r="H23" s="2952"/>
      <c r="I23" s="2952"/>
      <c r="J23" s="2952">
        <v>6513.05</v>
      </c>
      <c r="K23" s="2952">
        <v>2531.21</v>
      </c>
      <c r="M23" s="1635"/>
      <c r="N23" s="1635"/>
    </row>
    <row r="24" spans="1:14">
      <c r="A24" s="3189" t="s">
        <v>3069</v>
      </c>
      <c r="B24" s="3190"/>
      <c r="C24" s="2957">
        <f>C23</f>
        <v>9044.26</v>
      </c>
      <c r="D24" s="2957"/>
      <c r="E24" s="2957">
        <f>E23</f>
        <v>9044.26</v>
      </c>
      <c r="G24" s="2952"/>
      <c r="H24" s="2952"/>
      <c r="I24" s="2952"/>
      <c r="J24" s="2957">
        <f>J23</f>
        <v>6513.05</v>
      </c>
      <c r="K24" s="2957">
        <f>K23</f>
        <v>2531.21</v>
      </c>
      <c r="M24" s="1635"/>
      <c r="N24" s="1635"/>
    </row>
    <row r="25" spans="1:14">
      <c r="A25" s="3188" t="s">
        <v>3070</v>
      </c>
      <c r="B25" s="3188"/>
      <c r="C25" s="2957">
        <f>C22+C24</f>
        <v>30156.739999999998</v>
      </c>
      <c r="D25" s="2957">
        <f>D22+D24</f>
        <v>13695.009999999998</v>
      </c>
      <c r="E25" s="2957">
        <f>E22+E24</f>
        <v>16461.73</v>
      </c>
      <c r="G25" s="2957">
        <f>G22+G24</f>
        <v>13695.009999999998</v>
      </c>
      <c r="H25" s="2957">
        <f t="shared" ref="H25:K25" si="8">H22+H24</f>
        <v>7306.79</v>
      </c>
      <c r="I25" s="2957">
        <f t="shared" si="8"/>
        <v>110.67999999999999</v>
      </c>
      <c r="J25" s="2957">
        <f t="shared" si="8"/>
        <v>6513.05</v>
      </c>
      <c r="K25" s="2957">
        <f t="shared" si="8"/>
        <v>2531.21</v>
      </c>
      <c r="M25" s="1635"/>
      <c r="N25" s="1635"/>
    </row>
    <row r="27" spans="1:14">
      <c r="A27" s="2974" t="s">
        <v>3071</v>
      </c>
      <c r="M27" s="1635"/>
      <c r="N27" s="1635"/>
    </row>
    <row r="28" spans="1:14">
      <c r="A28" s="2961" t="s">
        <v>3072</v>
      </c>
      <c r="B28" s="2962"/>
      <c r="M28" s="1635"/>
      <c r="N28" s="1635"/>
    </row>
    <row r="29" spans="1:14">
      <c r="A29" s="3191" t="s">
        <v>3073</v>
      </c>
      <c r="B29" s="3191" t="s">
        <v>3074</v>
      </c>
      <c r="C29" s="3191" t="s">
        <v>3075</v>
      </c>
      <c r="D29" s="3192" t="s">
        <v>3076</v>
      </c>
      <c r="E29" s="3192"/>
      <c r="F29" s="3186" t="s">
        <v>3077</v>
      </c>
      <c r="G29" s="2952" t="s">
        <v>3078</v>
      </c>
      <c r="H29" s="3192" t="s">
        <v>3079</v>
      </c>
      <c r="I29" s="3192"/>
      <c r="J29" s="3192"/>
      <c r="K29" s="2963"/>
      <c r="M29" s="1635"/>
      <c r="N29" s="1635"/>
    </row>
    <row r="30" spans="1:14">
      <c r="A30" s="3191"/>
      <c r="B30" s="3191"/>
      <c r="C30" s="3191"/>
      <c r="D30" s="2952" t="s">
        <v>3078</v>
      </c>
      <c r="E30" s="2952" t="s">
        <v>3079</v>
      </c>
      <c r="F30" s="3187"/>
      <c r="G30" s="2952" t="s">
        <v>3080</v>
      </c>
      <c r="H30" s="2952" t="s">
        <v>3081</v>
      </c>
      <c r="I30" s="2952" t="s">
        <v>3082</v>
      </c>
      <c r="J30" s="2953" t="s">
        <v>3083</v>
      </c>
      <c r="M30" s="1635"/>
      <c r="N30" s="1635"/>
    </row>
    <row r="31" spans="1:14">
      <c r="A31" s="2955">
        <v>1</v>
      </c>
      <c r="B31" s="2952" t="s">
        <v>3084</v>
      </c>
      <c r="C31" s="2952">
        <v>2613.9299999999998</v>
      </c>
      <c r="D31" s="2952">
        <v>1549.16</v>
      </c>
      <c r="E31" s="2952">
        <v>1064.77</v>
      </c>
      <c r="G31" s="2952">
        <v>1549.16</v>
      </c>
      <c r="H31" s="2952">
        <v>1042.45</v>
      </c>
      <c r="I31" s="2955">
        <v>22.32</v>
      </c>
      <c r="J31" s="2952"/>
      <c r="M31" s="1635"/>
      <c r="N31" s="1635"/>
    </row>
    <row r="32" spans="1:14">
      <c r="A32" s="2955">
        <v>2</v>
      </c>
      <c r="B32" s="2952" t="s">
        <v>3085</v>
      </c>
      <c r="C32" s="2952">
        <v>4542.26</v>
      </c>
      <c r="D32" s="2952">
        <v>2380.6799999999998</v>
      </c>
      <c r="E32" s="2952">
        <v>2161.58</v>
      </c>
      <c r="G32" s="2952">
        <v>2380.6799999999998</v>
      </c>
      <c r="H32" s="2952">
        <v>2139.52</v>
      </c>
      <c r="I32" s="2955">
        <v>22.06</v>
      </c>
      <c r="J32" s="2952"/>
      <c r="M32" s="1635"/>
      <c r="N32" s="1635"/>
    </row>
    <row r="33" spans="1:14">
      <c r="A33" s="2955">
        <v>3</v>
      </c>
      <c r="B33" s="2952" t="s">
        <v>3086</v>
      </c>
      <c r="C33" s="2952">
        <v>4378.03</v>
      </c>
      <c r="D33" s="2952">
        <v>2380.6799999999998</v>
      </c>
      <c r="E33" s="2952">
        <v>1997.35</v>
      </c>
      <c r="G33" s="2952">
        <v>2380.6799999999998</v>
      </c>
      <c r="H33" s="2952">
        <v>1975.29</v>
      </c>
      <c r="I33" s="2955">
        <v>22.06</v>
      </c>
      <c r="J33" s="2952"/>
      <c r="M33" s="1635"/>
      <c r="N33" s="1635"/>
    </row>
    <row r="34" spans="1:14">
      <c r="A34" s="2955">
        <v>4</v>
      </c>
      <c r="B34" s="2952" t="s">
        <v>3087</v>
      </c>
      <c r="C34" s="2952">
        <v>2758.36</v>
      </c>
      <c r="D34" s="2952">
        <v>1549.16</v>
      </c>
      <c r="E34" s="2952">
        <v>1209.2</v>
      </c>
      <c r="G34" s="2952">
        <v>1549.16</v>
      </c>
      <c r="H34" s="2952">
        <v>1186.8800000000001</v>
      </c>
      <c r="I34" s="2955">
        <v>22.32</v>
      </c>
      <c r="J34" s="2952"/>
      <c r="M34" s="1635"/>
      <c r="N34" s="1635"/>
    </row>
    <row r="35" spans="1:14">
      <c r="A35" s="2955">
        <v>5</v>
      </c>
      <c r="B35" s="2952" t="s">
        <v>3088</v>
      </c>
      <c r="C35" s="2952">
        <v>2995.77</v>
      </c>
      <c r="D35" s="2952">
        <v>1682.52</v>
      </c>
      <c r="E35" s="2952">
        <v>1313.25</v>
      </c>
      <c r="G35" s="2952">
        <v>1682.52</v>
      </c>
      <c r="H35" s="2952">
        <v>1294.03</v>
      </c>
      <c r="I35" s="2955">
        <v>19.22</v>
      </c>
      <c r="J35" s="2952"/>
      <c r="M35" s="1635"/>
      <c r="N35" s="1635"/>
    </row>
    <row r="36" spans="1:14">
      <c r="A36" s="2955">
        <v>6</v>
      </c>
      <c r="B36" s="2952" t="s">
        <v>3089</v>
      </c>
      <c r="C36" s="2952">
        <v>4588.9399999999996</v>
      </c>
      <c r="D36" s="2952">
        <v>2380.6799999999998</v>
      </c>
      <c r="E36" s="2952">
        <v>2208.2600000000002</v>
      </c>
      <c r="G36" s="2952">
        <v>2380.6799999999998</v>
      </c>
      <c r="H36" s="2952">
        <v>2185.21</v>
      </c>
      <c r="I36" s="2955">
        <v>23.05</v>
      </c>
      <c r="J36" s="2952"/>
      <c r="M36" s="1635"/>
      <c r="N36" s="1635"/>
    </row>
    <row r="37" spans="1:14">
      <c r="A37" s="2955">
        <v>7</v>
      </c>
      <c r="B37" s="2952" t="s">
        <v>3090</v>
      </c>
      <c r="C37" s="2952">
        <v>4588.9399999999996</v>
      </c>
      <c r="D37" s="2952">
        <v>2380.6799999999998</v>
      </c>
      <c r="E37" s="2952">
        <v>2208.2600000000002</v>
      </c>
      <c r="G37" s="2952">
        <v>2380.6799999999998</v>
      </c>
      <c r="H37" s="2952">
        <v>2185.21</v>
      </c>
      <c r="I37" s="2955">
        <v>23.05</v>
      </c>
      <c r="J37" s="2952"/>
      <c r="M37" s="1635"/>
      <c r="N37" s="1635"/>
    </row>
    <row r="38" spans="1:14">
      <c r="A38" s="2955">
        <v>8</v>
      </c>
      <c r="B38" s="2952" t="s">
        <v>3091</v>
      </c>
      <c r="C38" s="2952">
        <v>3184.93</v>
      </c>
      <c r="D38" s="2952">
        <v>1682.52</v>
      </c>
      <c r="E38" s="2952">
        <v>1502.41</v>
      </c>
      <c r="G38" s="2952">
        <v>1682.52</v>
      </c>
      <c r="H38" s="2952">
        <v>1483.19</v>
      </c>
      <c r="I38" s="2955">
        <v>19.22</v>
      </c>
      <c r="J38" s="2952"/>
      <c r="M38" s="1635"/>
      <c r="N38" s="1635"/>
    </row>
    <row r="39" spans="1:14">
      <c r="A39" s="2955">
        <v>9</v>
      </c>
      <c r="B39" s="2952" t="s">
        <v>3092</v>
      </c>
      <c r="C39" s="2952">
        <v>2983.6</v>
      </c>
      <c r="D39" s="2952">
        <v>1682.52</v>
      </c>
      <c r="E39" s="2952">
        <v>1301.08</v>
      </c>
      <c r="G39" s="2952">
        <v>1682.52</v>
      </c>
      <c r="H39" s="2952">
        <v>1281.8599999999999</v>
      </c>
      <c r="I39" s="2955">
        <v>19.22</v>
      </c>
      <c r="J39" s="2952"/>
      <c r="M39" s="1635"/>
      <c r="N39" s="1635"/>
    </row>
    <row r="40" spans="1:14">
      <c r="A40" s="2955">
        <v>10</v>
      </c>
      <c r="B40" s="2952" t="s">
        <v>3093</v>
      </c>
      <c r="C40" s="2952">
        <v>4432.53</v>
      </c>
      <c r="D40" s="2952">
        <v>2380.6799999999998</v>
      </c>
      <c r="E40" s="2952">
        <v>2051.85</v>
      </c>
      <c r="G40" s="2952">
        <v>2380.6799999999998</v>
      </c>
      <c r="H40" s="2952">
        <v>2028.8</v>
      </c>
      <c r="I40" s="2955">
        <v>23.05</v>
      </c>
      <c r="J40" s="2952"/>
      <c r="M40" s="1635"/>
      <c r="N40" s="1635"/>
    </row>
    <row r="41" spans="1:14">
      <c r="A41" s="2955">
        <v>11</v>
      </c>
      <c r="B41" s="2952" t="s">
        <v>3094</v>
      </c>
      <c r="C41" s="2952">
        <v>2984.73</v>
      </c>
      <c r="D41" s="2952">
        <v>1682.52</v>
      </c>
      <c r="E41" s="2952">
        <v>1302.21</v>
      </c>
      <c r="G41" s="2952">
        <v>1682.52</v>
      </c>
      <c r="H41" s="2952">
        <v>1282.99</v>
      </c>
      <c r="I41" s="2955">
        <v>19.22</v>
      </c>
      <c r="J41" s="2952"/>
      <c r="M41" s="1635"/>
      <c r="N41" s="1635"/>
    </row>
    <row r="42" spans="1:14">
      <c r="A42" s="3188" t="s">
        <v>3095</v>
      </c>
      <c r="B42" s="3188"/>
      <c r="C42" s="2957">
        <f>SUM(C31:C41)</f>
        <v>40052.020000000004</v>
      </c>
      <c r="D42" s="2957">
        <f t="shared" ref="D42:I42" si="9">SUM(D31:D41)</f>
        <v>21731.800000000003</v>
      </c>
      <c r="E42" s="2957">
        <f t="shared" si="9"/>
        <v>18320.219999999998</v>
      </c>
      <c r="F42" s="2964"/>
      <c r="G42" s="2957">
        <f t="shared" si="9"/>
        <v>21731.800000000003</v>
      </c>
      <c r="H42" s="2957">
        <f t="shared" si="9"/>
        <v>18085.430000000004</v>
      </c>
      <c r="I42" s="2958">
        <f t="shared" si="9"/>
        <v>234.79000000000002</v>
      </c>
      <c r="J42" s="2957"/>
      <c r="K42" s="2964"/>
      <c r="M42" s="1635"/>
      <c r="N42" s="1635"/>
    </row>
    <row r="43" spans="1:14">
      <c r="A43" s="2965">
        <v>12</v>
      </c>
      <c r="B43" s="2965" t="s">
        <v>3096</v>
      </c>
      <c r="C43" s="2965">
        <v>4201.88</v>
      </c>
      <c r="D43" s="2965"/>
      <c r="E43" s="2965">
        <v>4201.88</v>
      </c>
      <c r="G43" s="2965"/>
      <c r="H43" s="2965"/>
      <c r="I43" s="2965"/>
      <c r="J43" s="2965">
        <v>4201.88</v>
      </c>
      <c r="M43" s="1635"/>
      <c r="N43" s="1635"/>
    </row>
    <row r="44" spans="1:14">
      <c r="A44" s="3188" t="s">
        <v>3097</v>
      </c>
      <c r="B44" s="3188"/>
      <c r="C44" s="2957">
        <f>C43</f>
        <v>4201.88</v>
      </c>
      <c r="D44" s="2952"/>
      <c r="E44" s="2957">
        <f>E43</f>
        <v>4201.88</v>
      </c>
      <c r="F44" s="2956"/>
      <c r="G44" s="2952"/>
      <c r="H44" s="2952"/>
      <c r="I44" s="2952"/>
      <c r="J44" s="2957">
        <f>J43</f>
        <v>4201.88</v>
      </c>
    </row>
    <row r="45" spans="1:14">
      <c r="A45" s="3188" t="s">
        <v>3098</v>
      </c>
      <c r="B45" s="3188"/>
      <c r="C45" s="2957">
        <f>C42+C44</f>
        <v>44253.9</v>
      </c>
      <c r="D45" s="2957">
        <f t="shared" ref="D45:E45" si="10">D42+D44</f>
        <v>21731.800000000003</v>
      </c>
      <c r="E45" s="2957">
        <f t="shared" si="10"/>
        <v>22522.1</v>
      </c>
      <c r="F45" s="2957"/>
      <c r="G45" s="2957">
        <f t="shared" ref="G45:J45" si="11">G42+G44</f>
        <v>21731.800000000003</v>
      </c>
      <c r="H45" s="2957">
        <f t="shared" si="11"/>
        <v>18085.430000000004</v>
      </c>
      <c r="I45" s="2957">
        <f t="shared" si="11"/>
        <v>234.79000000000002</v>
      </c>
      <c r="J45" s="2957">
        <f t="shared" si="11"/>
        <v>4201.88</v>
      </c>
    </row>
    <row r="46" spans="1:14">
      <c r="A46" s="2971"/>
      <c r="B46" s="2971"/>
      <c r="C46" s="2971"/>
      <c r="D46" s="2971"/>
      <c r="E46" s="2971"/>
      <c r="F46" s="2971"/>
      <c r="G46" s="2971"/>
      <c r="H46" s="2971"/>
      <c r="I46" s="2971"/>
      <c r="J46" s="2971"/>
    </row>
    <row r="47" spans="1:14">
      <c r="A47" s="2974" t="s">
        <v>3142</v>
      </c>
    </row>
    <row r="48" spans="1:14">
      <c r="A48" s="2961" t="s">
        <v>3116</v>
      </c>
      <c r="B48" s="2951"/>
    </row>
    <row r="49" spans="1:14">
      <c r="A49" s="3191" t="s">
        <v>3099</v>
      </c>
      <c r="B49" s="3191" t="s">
        <v>3100</v>
      </c>
      <c r="C49" s="3191" t="s">
        <v>3101</v>
      </c>
      <c r="D49" s="3192" t="s">
        <v>3102</v>
      </c>
      <c r="E49" s="3192"/>
      <c r="F49" s="3186" t="s">
        <v>3103</v>
      </c>
      <c r="G49" s="3192" t="s">
        <v>3104</v>
      </c>
      <c r="H49" s="3192"/>
      <c r="I49" s="3192" t="s">
        <v>3105</v>
      </c>
      <c r="J49" s="3192"/>
      <c r="K49" s="3192"/>
      <c r="L49" s="3192"/>
      <c r="M49" s="3192"/>
      <c r="N49" s="3192"/>
    </row>
    <row r="50" spans="1:14">
      <c r="A50" s="3191"/>
      <c r="B50" s="3191"/>
      <c r="C50" s="3191"/>
      <c r="D50" s="2952" t="s">
        <v>3104</v>
      </c>
      <c r="E50" s="2952" t="s">
        <v>3105</v>
      </c>
      <c r="F50" s="3187"/>
      <c r="G50" s="2952" t="s">
        <v>3117</v>
      </c>
      <c r="H50" s="2973" t="s">
        <v>3138</v>
      </c>
      <c r="I50" s="2952" t="s">
        <v>3118</v>
      </c>
      <c r="J50" s="2953" t="s">
        <v>3108</v>
      </c>
      <c r="K50" s="2953" t="s">
        <v>3119</v>
      </c>
      <c r="L50" s="2953" t="s">
        <v>3120</v>
      </c>
      <c r="M50" s="2972" t="s">
        <v>3138</v>
      </c>
      <c r="N50" s="2953" t="s">
        <v>3109</v>
      </c>
    </row>
    <row r="51" spans="1:14">
      <c r="A51" s="2952">
        <v>1</v>
      </c>
      <c r="B51" s="2952" t="s">
        <v>3121</v>
      </c>
      <c r="C51" s="2952">
        <v>40436.720000000001</v>
      </c>
      <c r="D51" s="2952">
        <v>34137.57</v>
      </c>
      <c r="E51" s="2952">
        <v>6299.15</v>
      </c>
      <c r="G51" s="2952">
        <v>33937.4</v>
      </c>
      <c r="H51" s="2952">
        <v>200.17</v>
      </c>
      <c r="I51" s="2952">
        <v>4394.8</v>
      </c>
      <c r="J51" s="2953">
        <v>487.47</v>
      </c>
      <c r="K51" s="2953">
        <v>1215.92</v>
      </c>
      <c r="L51" s="2953">
        <v>200.96</v>
      </c>
      <c r="M51" s="2952"/>
      <c r="N51" s="2952"/>
    </row>
    <row r="52" spans="1:14">
      <c r="A52" s="2952">
        <v>2</v>
      </c>
      <c r="B52" s="2952" t="s">
        <v>3122</v>
      </c>
      <c r="C52" s="2952">
        <v>45596.59</v>
      </c>
      <c r="D52" s="2952">
        <v>38297.769999999997</v>
      </c>
      <c r="E52" s="2952">
        <v>7298.82</v>
      </c>
      <c r="G52" s="2952">
        <v>38081.26</v>
      </c>
      <c r="H52" s="2952">
        <v>216.51</v>
      </c>
      <c r="I52" s="2952">
        <v>3363.33</v>
      </c>
      <c r="J52" s="2952">
        <v>585.82000000000005</v>
      </c>
      <c r="K52" s="2956"/>
      <c r="L52" s="2956"/>
      <c r="M52" s="2952">
        <v>259.64999999999998</v>
      </c>
      <c r="N52" s="2952">
        <v>3090.02</v>
      </c>
    </row>
    <row r="53" spans="1:14">
      <c r="A53" s="3188" t="s">
        <v>3114</v>
      </c>
      <c r="B53" s="3188"/>
      <c r="C53" s="2957">
        <f>C51+C52</f>
        <v>86033.31</v>
      </c>
      <c r="D53" s="2957">
        <f t="shared" ref="D53:E53" si="12">D51+D52</f>
        <v>72435.34</v>
      </c>
      <c r="E53" s="2957">
        <f t="shared" si="12"/>
        <v>13597.97</v>
      </c>
      <c r="G53" s="2957">
        <f>G51+G52</f>
        <v>72018.66</v>
      </c>
      <c r="H53" s="2957">
        <f t="shared" ref="H53:M53" si="13">H51+H52</f>
        <v>416.67999999999995</v>
      </c>
      <c r="I53" s="2957">
        <f t="shared" si="13"/>
        <v>7758.13</v>
      </c>
      <c r="J53" s="2957">
        <f t="shared" si="13"/>
        <v>1073.29</v>
      </c>
      <c r="K53" s="2957">
        <f t="shared" si="13"/>
        <v>1215.92</v>
      </c>
      <c r="L53" s="2957">
        <f t="shared" si="13"/>
        <v>200.96</v>
      </c>
      <c r="M53" s="2957">
        <f t="shared" si="13"/>
        <v>259.64999999999998</v>
      </c>
      <c r="N53" s="2957">
        <f>N51+N52</f>
        <v>3090.02</v>
      </c>
    </row>
    <row r="54" spans="1:14">
      <c r="A54" s="2952">
        <v>3</v>
      </c>
      <c r="B54" s="2952" t="s">
        <v>3123</v>
      </c>
      <c r="C54" s="2952">
        <v>446.27</v>
      </c>
      <c r="D54" s="2952">
        <v>299.36</v>
      </c>
      <c r="E54" s="2952">
        <v>146.91</v>
      </c>
      <c r="G54" s="2952"/>
      <c r="H54" s="2952"/>
      <c r="I54" s="2952"/>
      <c r="J54" s="2952"/>
      <c r="K54" s="2956"/>
      <c r="L54" s="2956"/>
      <c r="M54" s="2952"/>
      <c r="N54" s="2952"/>
    </row>
    <row r="55" spans="1:14">
      <c r="A55" s="2952">
        <v>4</v>
      </c>
      <c r="B55" s="2952" t="s">
        <v>3124</v>
      </c>
      <c r="C55" s="2952">
        <v>88.94</v>
      </c>
      <c r="D55" s="2952">
        <v>88.94</v>
      </c>
      <c r="E55" s="2952">
        <v>0</v>
      </c>
      <c r="G55" s="2952"/>
      <c r="H55" s="2952"/>
      <c r="I55" s="2952"/>
      <c r="J55" s="2952"/>
      <c r="K55" s="2956"/>
      <c r="L55" s="2956"/>
      <c r="M55" s="2952"/>
      <c r="N55" s="2952"/>
    </row>
    <row r="56" spans="1:14">
      <c r="A56" s="2952">
        <v>5</v>
      </c>
      <c r="B56" s="2952" t="s">
        <v>3125</v>
      </c>
      <c r="C56" s="2952">
        <v>18844.740000000002</v>
      </c>
      <c r="D56" s="2952">
        <v>0</v>
      </c>
      <c r="E56" s="2952">
        <v>18844.740000000002</v>
      </c>
      <c r="G56" s="2952"/>
      <c r="H56" s="2952"/>
      <c r="I56" s="2952"/>
      <c r="J56" s="2952">
        <f>220+290.06+31.25+16.34+61.58+32.14+32.25+200+32.46</f>
        <v>916.08</v>
      </c>
      <c r="K56" s="2952">
        <v>10190.19</v>
      </c>
      <c r="L56" s="2952">
        <v>620.34</v>
      </c>
      <c r="M56" s="2952"/>
      <c r="N56" s="2952">
        <v>7118.13</v>
      </c>
    </row>
    <row r="57" spans="1:14" ht="27">
      <c r="A57" s="2968">
        <v>6</v>
      </c>
      <c r="B57" s="2969" t="s">
        <v>3126</v>
      </c>
      <c r="C57" s="2968">
        <v>49.58</v>
      </c>
      <c r="D57" s="2968">
        <v>49.58</v>
      </c>
      <c r="E57" s="2968">
        <v>0</v>
      </c>
      <c r="G57" s="2952"/>
      <c r="H57" s="2952"/>
      <c r="I57" s="2952"/>
      <c r="J57" s="2952"/>
      <c r="K57" s="2956"/>
      <c r="L57" s="2956"/>
      <c r="M57" s="2952"/>
      <c r="N57" s="2952"/>
    </row>
    <row r="58" spans="1:14">
      <c r="A58" s="2968">
        <v>7</v>
      </c>
      <c r="B58" s="2969" t="s">
        <v>3127</v>
      </c>
      <c r="C58" s="2968">
        <v>53.6</v>
      </c>
      <c r="D58" s="2968">
        <f>C58</f>
        <v>53.6</v>
      </c>
      <c r="E58" s="2968">
        <v>0</v>
      </c>
      <c r="G58" s="2952"/>
      <c r="H58" s="2952"/>
      <c r="I58" s="2952"/>
      <c r="J58" s="2952"/>
      <c r="K58" s="2956"/>
      <c r="L58" s="2956"/>
      <c r="M58" s="2952"/>
      <c r="N58" s="2952"/>
    </row>
    <row r="59" spans="1:14">
      <c r="A59" s="2968">
        <v>8</v>
      </c>
      <c r="B59" s="2969" t="s">
        <v>3128</v>
      </c>
      <c r="C59" s="2968">
        <v>58.88</v>
      </c>
      <c r="D59" s="2968">
        <f>C59</f>
        <v>58.88</v>
      </c>
      <c r="E59" s="2968">
        <v>0</v>
      </c>
      <c r="G59" s="2952"/>
      <c r="H59" s="2952"/>
      <c r="I59" s="2952"/>
      <c r="J59" s="2952"/>
      <c r="K59" s="2956"/>
      <c r="L59" s="2956"/>
      <c r="M59" s="2952"/>
      <c r="N59" s="2952"/>
    </row>
    <row r="60" spans="1:14">
      <c r="A60" s="2968">
        <v>9</v>
      </c>
      <c r="B60" s="2969" t="s">
        <v>3129</v>
      </c>
      <c r="C60" s="2968">
        <v>50.89</v>
      </c>
      <c r="D60" s="2968">
        <f>C60</f>
        <v>50.89</v>
      </c>
      <c r="E60" s="2968">
        <v>0</v>
      </c>
      <c r="G60" s="2952"/>
      <c r="H60" s="2952"/>
      <c r="I60" s="2952"/>
      <c r="J60" s="2952"/>
      <c r="K60" s="2956"/>
      <c r="L60" s="2956"/>
      <c r="M60" s="2952"/>
      <c r="N60" s="2952"/>
    </row>
    <row r="61" spans="1:14">
      <c r="A61" s="2968">
        <v>10</v>
      </c>
      <c r="B61" s="2969" t="s">
        <v>3130</v>
      </c>
      <c r="C61" s="2968">
        <v>68.540000000000006</v>
      </c>
      <c r="D61" s="2968">
        <f>C61</f>
        <v>68.540000000000006</v>
      </c>
      <c r="E61" s="2968">
        <v>0</v>
      </c>
      <c r="G61" s="2952"/>
      <c r="H61" s="2952"/>
      <c r="I61" s="2952"/>
      <c r="J61" s="2952"/>
      <c r="K61" s="2956"/>
      <c r="L61" s="2956"/>
      <c r="M61" s="2952"/>
      <c r="N61" s="2952"/>
    </row>
    <row r="62" spans="1:14">
      <c r="A62" s="3188" t="s">
        <v>3095</v>
      </c>
      <c r="B62" s="3188"/>
      <c r="C62" s="2957">
        <f>SUM(C54:C61)</f>
        <v>19661.440000000002</v>
      </c>
      <c r="D62" s="2957">
        <f>SUM(D54:D61)</f>
        <v>669.79</v>
      </c>
      <c r="E62" s="2957">
        <f>SUM(E54:E61)</f>
        <v>18991.650000000001</v>
      </c>
    </row>
    <row r="63" spans="1:14">
      <c r="A63" s="3188" t="s">
        <v>3131</v>
      </c>
      <c r="B63" s="3188"/>
      <c r="C63" s="2957">
        <f>C53+C62</f>
        <v>105694.75</v>
      </c>
      <c r="D63" s="2957">
        <f t="shared" ref="D63:E63" si="14">D53+D62</f>
        <v>73105.12999999999</v>
      </c>
      <c r="E63" s="2957">
        <f t="shared" si="14"/>
        <v>32589.620000000003</v>
      </c>
    </row>
    <row r="64" spans="1:14">
      <c r="A64" s="2971"/>
      <c r="B64" s="2971"/>
      <c r="C64" s="2971"/>
      <c r="D64" s="2971"/>
      <c r="E64" s="2971"/>
    </row>
    <row r="65" spans="1:16">
      <c r="A65" s="2948" t="s">
        <v>3132</v>
      </c>
      <c r="M65" s="1635"/>
      <c r="N65" s="1635"/>
    </row>
    <row r="66" spans="1:16">
      <c r="A66" s="2961" t="s">
        <v>3133</v>
      </c>
      <c r="B66" s="2951"/>
      <c r="G66" s="3193" t="s">
        <v>3078</v>
      </c>
      <c r="H66" s="3193"/>
      <c r="I66" s="3193"/>
      <c r="J66" s="3193" t="s">
        <v>3079</v>
      </c>
      <c r="K66" s="3193"/>
      <c r="M66" s="1635"/>
      <c r="N66" s="1635"/>
    </row>
    <row r="67" spans="1:16">
      <c r="A67" s="3191" t="s">
        <v>3073</v>
      </c>
      <c r="B67" s="3191" t="s">
        <v>3074</v>
      </c>
      <c r="C67" s="3191" t="s">
        <v>3075</v>
      </c>
      <c r="D67" s="3192" t="s">
        <v>3076</v>
      </c>
      <c r="E67" s="3192"/>
      <c r="G67" s="2949" t="s">
        <v>3134</v>
      </c>
      <c r="H67" s="2949" t="s">
        <v>3135</v>
      </c>
      <c r="I67" s="2949" t="s">
        <v>3082</v>
      </c>
      <c r="J67" s="2949" t="s">
        <v>3083</v>
      </c>
      <c r="K67" s="2970" t="s">
        <v>3082</v>
      </c>
      <c r="M67" s="1635"/>
      <c r="N67" s="1635"/>
    </row>
    <row r="68" spans="1:16">
      <c r="A68" s="3191"/>
      <c r="B68" s="3191"/>
      <c r="C68" s="3191"/>
      <c r="D68" s="2952" t="s">
        <v>3078</v>
      </c>
      <c r="E68" s="2952" t="s">
        <v>3079</v>
      </c>
      <c r="G68" s="2949">
        <v>3763.72</v>
      </c>
      <c r="H68" s="2949">
        <v>13321.98</v>
      </c>
      <c r="I68" s="2949">
        <v>29.3</v>
      </c>
      <c r="J68" s="2949">
        <v>5901.01</v>
      </c>
      <c r="K68" s="2970">
        <v>767.97</v>
      </c>
      <c r="M68" s="1635"/>
      <c r="N68" s="1635"/>
    </row>
    <row r="69" spans="1:16">
      <c r="A69" s="2952">
        <v>1</v>
      </c>
      <c r="B69" s="2952" t="s">
        <v>3136</v>
      </c>
      <c r="C69" s="2952">
        <v>22973.98</v>
      </c>
      <c r="D69" s="2952">
        <v>17115</v>
      </c>
      <c r="E69" s="2952">
        <v>5858.98</v>
      </c>
      <c r="M69" s="1635"/>
      <c r="N69" s="1635"/>
    </row>
    <row r="73" spans="1:16" ht="14.25" thickBot="1"/>
    <row r="74" spans="1:16" s="3103" customFormat="1" ht="14.25" thickBot="1">
      <c r="A74" s="3197" t="s">
        <v>3397</v>
      </c>
      <c r="B74" s="3197" t="s">
        <v>3398</v>
      </c>
      <c r="C74" s="3097" t="s">
        <v>3399</v>
      </c>
      <c r="D74" s="3097" t="s">
        <v>3401</v>
      </c>
      <c r="E74" s="3197" t="s">
        <v>3403</v>
      </c>
      <c r="F74" s="3194" t="s">
        <v>3399</v>
      </c>
      <c r="G74" s="3195"/>
      <c r="H74" s="3195"/>
      <c r="I74" s="3195"/>
      <c r="J74" s="3195"/>
      <c r="K74" s="3195"/>
      <c r="L74" s="3195"/>
      <c r="M74" s="3195"/>
      <c r="N74" s="3195"/>
      <c r="O74" s="3196"/>
      <c r="P74" s="3197" t="s">
        <v>3404</v>
      </c>
    </row>
    <row r="75" spans="1:16" s="3103" customFormat="1" ht="14.25" thickBot="1">
      <c r="A75" s="3198"/>
      <c r="B75" s="3198"/>
      <c r="C75" s="3098" t="s">
        <v>3400</v>
      </c>
      <c r="D75" s="3098" t="s">
        <v>3402</v>
      </c>
      <c r="E75" s="3198"/>
      <c r="F75" s="3197" t="s">
        <v>37</v>
      </c>
      <c r="G75" s="3194" t="s">
        <v>38</v>
      </c>
      <c r="H75" s="3195"/>
      <c r="I75" s="3195"/>
      <c r="J75" s="3195"/>
      <c r="K75" s="3195"/>
      <c r="L75" s="3196"/>
      <c r="M75" s="3194" t="s">
        <v>39</v>
      </c>
      <c r="N75" s="3195"/>
      <c r="O75" s="3196"/>
      <c r="P75" s="3198"/>
    </row>
    <row r="76" spans="1:16" s="3103" customFormat="1" ht="14.25" thickBot="1">
      <c r="A76" s="3199"/>
      <c r="B76" s="3199"/>
      <c r="C76" s="3099"/>
      <c r="D76" s="3099"/>
      <c r="E76" s="3199"/>
      <c r="F76" s="3199"/>
      <c r="G76" s="3100" t="s">
        <v>40</v>
      </c>
      <c r="H76" s="3100" t="s">
        <v>3151</v>
      </c>
      <c r="I76" s="3100" t="s">
        <v>3162</v>
      </c>
      <c r="J76" s="3100" t="s">
        <v>48</v>
      </c>
      <c r="K76" s="3100" t="s">
        <v>1377</v>
      </c>
      <c r="L76" s="3100" t="s">
        <v>27</v>
      </c>
      <c r="M76" s="3100" t="s">
        <v>40</v>
      </c>
      <c r="N76" s="3100" t="s">
        <v>3405</v>
      </c>
      <c r="O76" s="3100" t="s">
        <v>3406</v>
      </c>
      <c r="P76" s="3199"/>
    </row>
    <row r="77" spans="1:16" s="3103" customFormat="1" ht="246" thickBot="1">
      <c r="A77" s="3101">
        <v>1</v>
      </c>
      <c r="B77" s="3105" t="s">
        <v>3407</v>
      </c>
      <c r="C77" s="3100" t="s">
        <v>3413</v>
      </c>
      <c r="D77" s="3100" t="s">
        <v>3412</v>
      </c>
      <c r="E77" s="3106">
        <v>31136.97</v>
      </c>
      <c r="F77" s="3102">
        <f>G77+M77</f>
        <v>117348.15999999992</v>
      </c>
      <c r="G77" s="3102">
        <f>SUM(H77:L77)</f>
        <v>113718.12999999992</v>
      </c>
      <c r="H77" s="3102">
        <f>'数据-基础表'!I5+'数据-基础表'!O5</f>
        <v>51317.149999999921</v>
      </c>
      <c r="I77" s="3102">
        <f>'数据-基础表'!K5</f>
        <v>37199.47</v>
      </c>
      <c r="J77" s="3102">
        <f>'数据-基础表'!M5</f>
        <v>25201.510000000002</v>
      </c>
      <c r="K77" s="3102">
        <v>0</v>
      </c>
      <c r="L77" s="3102">
        <v>0</v>
      </c>
      <c r="M77" s="3102">
        <f>SUM(N77:O77)</f>
        <v>3630.03</v>
      </c>
      <c r="N77" s="3102">
        <f>'数据-基础表'!AD5+'数据-基础表'!AF5</f>
        <v>676.32999999999993</v>
      </c>
      <c r="O77" s="3102">
        <f>'数据-基础表'!AL5+'数据-基础表'!AN5</f>
        <v>2953.7000000000003</v>
      </c>
      <c r="P77" s="3102" t="s">
        <v>3418</v>
      </c>
    </row>
    <row r="78" spans="1:16" s="3103" customFormat="1" ht="26.25" customHeight="1" thickBot="1">
      <c r="A78" s="3101">
        <v>3</v>
      </c>
      <c r="B78" s="3100" t="s">
        <v>3408</v>
      </c>
      <c r="C78" s="3100" t="s">
        <v>3416</v>
      </c>
      <c r="D78" s="3104" t="s">
        <v>3409</v>
      </c>
      <c r="E78" s="3102">
        <f>[2]结果表!$L$19</f>
        <v>6845.8</v>
      </c>
      <c r="F78" s="3102">
        <f>G78+M78</f>
        <v>22973.98</v>
      </c>
      <c r="G78" s="3102">
        <f t="shared" ref="G78" si="15">SUM(H78:L78)</f>
        <v>22176.71</v>
      </c>
      <c r="H78" s="3102">
        <v>0</v>
      </c>
      <c r="I78" s="3102">
        <v>0</v>
      </c>
      <c r="J78" s="3102">
        <f>'[2]数据-基础表'!$M$5</f>
        <v>5091.01</v>
      </c>
      <c r="K78" s="3102">
        <f>'[2]数据-基础表'!$I$5</f>
        <v>3763.72</v>
      </c>
      <c r="L78" s="3102">
        <f>'[2]数据-基础表'!$K$5</f>
        <v>13321.98</v>
      </c>
      <c r="M78" s="3102">
        <f t="shared" ref="M78" si="16">SUM(N78:O78)</f>
        <v>797.27</v>
      </c>
      <c r="N78" s="3102"/>
      <c r="O78" s="3102">
        <f>'[2]数据-基础表'!$AL$5+'[2]数据-基础表'!$AN$5</f>
        <v>797.27</v>
      </c>
      <c r="P78" s="3102" t="s">
        <v>3417</v>
      </c>
    </row>
    <row r="79" spans="1:16" s="3103" customFormat="1" ht="14.25" thickBot="1">
      <c r="A79" s="3194" t="s">
        <v>37</v>
      </c>
      <c r="B79" s="3195"/>
      <c r="C79" s="3195"/>
      <c r="D79" s="3196"/>
      <c r="E79" s="3102">
        <f>SUM(E77:E78)</f>
        <v>37982.770000000004</v>
      </c>
      <c r="F79" s="3102">
        <f>SUM(F77:F78)</f>
        <v>140322.13999999993</v>
      </c>
      <c r="G79" s="3102">
        <f>SUM(G77:G78)</f>
        <v>135894.83999999991</v>
      </c>
      <c r="H79" s="3102">
        <f>SUM(H77:H78)</f>
        <v>51317.149999999921</v>
      </c>
      <c r="I79" s="3102">
        <f>SUM(I77:I78)</f>
        <v>37199.47</v>
      </c>
      <c r="J79" s="3102">
        <f>SUM(J77:J78)</f>
        <v>30292.520000000004</v>
      </c>
      <c r="K79" s="3102">
        <f>SUM(K77:K78)</f>
        <v>3763.72</v>
      </c>
      <c r="L79" s="3102">
        <f>SUM(L77:L78)</f>
        <v>13321.98</v>
      </c>
      <c r="M79" s="3102">
        <f>SUM(M77:M78)</f>
        <v>4427.3</v>
      </c>
      <c r="N79" s="3102">
        <f>SUM(N77:N78)</f>
        <v>676.32999999999993</v>
      </c>
      <c r="O79" s="3102">
        <f>SUM(O77:O78)</f>
        <v>3750.9700000000003</v>
      </c>
      <c r="P79" s="3102"/>
    </row>
    <row r="83" spans="2:2">
      <c r="B83" s="3457" t="s">
        <v>3410</v>
      </c>
    </row>
    <row r="85" spans="2:2">
      <c r="B85" s="2981" t="s">
        <v>3411</v>
      </c>
    </row>
    <row r="87" spans="2:2">
      <c r="B87" s="2981" t="s">
        <v>3414</v>
      </c>
    </row>
    <row r="89" spans="2:2">
      <c r="B89" s="2981" t="s">
        <v>3415</v>
      </c>
    </row>
  </sheetData>
  <mergeCells count="52">
    <mergeCell ref="A79:D79"/>
    <mergeCell ref="A74:A76"/>
    <mergeCell ref="B74:B76"/>
    <mergeCell ref="E74:E76"/>
    <mergeCell ref="F74:O74"/>
    <mergeCell ref="P74:P76"/>
    <mergeCell ref="F75:F76"/>
    <mergeCell ref="G75:L75"/>
    <mergeCell ref="M75:O75"/>
    <mergeCell ref="A11:B11"/>
    <mergeCell ref="F3:F4"/>
    <mergeCell ref="H3:K3"/>
    <mergeCell ref="A8:B8"/>
    <mergeCell ref="A10:B10"/>
    <mergeCell ref="A3:A4"/>
    <mergeCell ref="B3:B4"/>
    <mergeCell ref="C3:C4"/>
    <mergeCell ref="D3:E3"/>
    <mergeCell ref="G66:I66"/>
    <mergeCell ref="J66:K66"/>
    <mergeCell ref="A67:A68"/>
    <mergeCell ref="B67:B68"/>
    <mergeCell ref="C67:C68"/>
    <mergeCell ref="D67:E67"/>
    <mergeCell ref="A63:B63"/>
    <mergeCell ref="D49:E49"/>
    <mergeCell ref="F49:F50"/>
    <mergeCell ref="G49:H49"/>
    <mergeCell ref="I49:N49"/>
    <mergeCell ref="A53:B53"/>
    <mergeCell ref="A62:B62"/>
    <mergeCell ref="A49:A50"/>
    <mergeCell ref="B49:B50"/>
    <mergeCell ref="C49:C50"/>
    <mergeCell ref="D29:E29"/>
    <mergeCell ref="F29:F30"/>
    <mergeCell ref="H29:J29"/>
    <mergeCell ref="A42:B42"/>
    <mergeCell ref="A44:B44"/>
    <mergeCell ref="C29:C30"/>
    <mergeCell ref="A45:B45"/>
    <mergeCell ref="A22:B22"/>
    <mergeCell ref="A24:B24"/>
    <mergeCell ref="A25:B25"/>
    <mergeCell ref="A29:A30"/>
    <mergeCell ref="B29:B30"/>
    <mergeCell ref="H15:K15"/>
    <mergeCell ref="A15:A16"/>
    <mergeCell ref="B15:B16"/>
    <mergeCell ref="C15:C16"/>
    <mergeCell ref="D15:E15"/>
    <mergeCell ref="F15:F16"/>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D20" sqref="D20"/>
    </sheetView>
  </sheetViews>
  <sheetFormatPr defaultColWidth="9.25" defaultRowHeight="14.2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8" width="9.375" style="2224" bestFit="1" customWidth="1"/>
    <col min="19" max="19" width="10.5" style="2224" bestFit="1" customWidth="1"/>
    <col min="20" max="16384" width="9.25" style="2224"/>
  </cols>
  <sheetData>
    <row r="1" spans="1:16" ht="18.75">
      <c r="A1" s="2223" t="s">
        <v>1932</v>
      </c>
      <c r="B1" s="1392"/>
      <c r="C1" s="1392"/>
      <c r="D1" s="1392"/>
      <c r="E1" s="1392"/>
      <c r="F1" s="1392"/>
      <c r="G1" s="1392"/>
      <c r="H1" s="1392"/>
      <c r="I1" s="1392"/>
      <c r="J1" s="1392"/>
      <c r="K1" s="1392"/>
      <c r="L1" s="1392"/>
      <c r="M1" s="1392"/>
      <c r="N1" s="1392"/>
      <c r="O1" s="1392"/>
      <c r="P1" s="1392"/>
    </row>
    <row r="2" spans="1:16" ht="15">
      <c r="A2" s="3209" t="s">
        <v>1933</v>
      </c>
      <c r="B2" s="3209"/>
      <c r="C2" s="3209"/>
      <c r="D2" s="967" t="s">
        <v>1909</v>
      </c>
      <c r="E2" s="2225" t="s">
        <v>1910</v>
      </c>
      <c r="F2" s="1392"/>
      <c r="G2" s="2226"/>
      <c r="H2" s="2227"/>
      <c r="I2" s="2228" t="s">
        <v>1934</v>
      </c>
      <c r="J2" s="1392"/>
      <c r="K2" s="1392"/>
      <c r="L2" s="1392"/>
      <c r="M2" s="1392"/>
      <c r="N2" s="1427"/>
      <c r="O2" s="1392"/>
      <c r="P2" s="1392"/>
    </row>
    <row r="3" spans="1:16" ht="15.75" thickBot="1">
      <c r="A3" s="3210" t="s">
        <v>1907</v>
      </c>
      <c r="B3" s="3210"/>
      <c r="C3" s="3210"/>
      <c r="D3" s="46">
        <f>'数据-基础表'!AY6</f>
        <v>31136.97</v>
      </c>
      <c r="E3" s="46">
        <f>'数据-基础表'!AZ5</f>
        <v>117348.15999999993</v>
      </c>
      <c r="F3" s="1392"/>
      <c r="G3" s="1399"/>
      <c r="H3" s="1247" t="s">
        <v>1908</v>
      </c>
      <c r="I3" s="55">
        <f>ROUND('数据-基础表'!B3/'数据-基础表'!A3,2)</f>
        <v>3.77</v>
      </c>
      <c r="J3" s="1392"/>
      <c r="K3" s="1392"/>
      <c r="L3" s="1392"/>
      <c r="M3" s="1392"/>
      <c r="N3" s="1427"/>
      <c r="O3" s="1392"/>
      <c r="P3" s="1392"/>
    </row>
    <row r="4" spans="1:16" ht="15">
      <c r="A4" s="3211"/>
      <c r="B4" s="3212"/>
      <c r="C4" s="3213"/>
      <c r="D4" s="2229" t="s">
        <v>1909</v>
      </c>
      <c r="E4" s="2230" t="s">
        <v>1910</v>
      </c>
      <c r="F4" s="1392"/>
      <c r="G4" s="2231" t="s">
        <v>1935</v>
      </c>
      <c r="H4" s="1247" t="s">
        <v>1915</v>
      </c>
      <c r="I4" s="55">
        <f>ROUND(SUMIF('数据-基础表'!I9:AS9,"地上",'数据-基础表'!I5:AS5)/'数据-基础表'!A3,2)</f>
        <v>1.48</v>
      </c>
      <c r="J4" s="1392"/>
      <c r="K4" s="1392"/>
      <c r="L4" s="1392"/>
      <c r="M4" s="1392"/>
      <c r="N4" s="1427"/>
      <c r="O4" s="1392"/>
      <c r="P4" s="1392"/>
    </row>
    <row r="5" spans="1:16">
      <c r="A5" s="47" t="s">
        <v>1911</v>
      </c>
      <c r="B5" s="3214" t="s">
        <v>1912</v>
      </c>
      <c r="C5" s="3214"/>
      <c r="D5" s="48">
        <f>ROUND($D$3*E5/$E$3,2)</f>
        <v>13616.41</v>
      </c>
      <c r="E5" s="49">
        <f>SUMIF('数据-基础表'!$11:$11,"住宅",'数据-基础表'!$5:$5)</f>
        <v>51317.149999999921</v>
      </c>
      <c r="F5" s="1392"/>
      <c r="G5" s="1399"/>
      <c r="H5" s="1247" t="s">
        <v>1908</v>
      </c>
      <c r="I5" s="55">
        <f>ROUND(E31/D31,2)</f>
        <v>3.77</v>
      </c>
      <c r="J5" s="1392"/>
      <c r="K5" s="1392"/>
      <c r="L5" s="1392"/>
      <c r="M5" s="1392"/>
      <c r="N5" s="1392"/>
      <c r="O5" s="1392"/>
      <c r="P5" s="1392"/>
    </row>
    <row r="6" spans="1:16" ht="15" thickBot="1">
      <c r="A6" s="2232"/>
      <c r="B6" s="3214" t="s">
        <v>1913</v>
      </c>
      <c r="C6" s="3214"/>
      <c r="D6" s="48">
        <f>ROUND($D$3*E6/$E$3,2)</f>
        <v>17520.560000000001</v>
      </c>
      <c r="E6" s="49">
        <f>E3-E5</f>
        <v>66031.010000000009</v>
      </c>
      <c r="F6" s="1392"/>
      <c r="G6" s="2233" t="s">
        <v>1914</v>
      </c>
      <c r="H6" s="1399" t="s">
        <v>1915</v>
      </c>
      <c r="I6" s="939">
        <f>ROUND(F31/D31,2)</f>
        <v>1.67</v>
      </c>
      <c r="J6" s="1392"/>
      <c r="K6" s="1392"/>
      <c r="L6" s="1392"/>
      <c r="M6" s="1392"/>
      <c r="N6" s="1392"/>
      <c r="O6" s="1392"/>
      <c r="P6" s="1392"/>
    </row>
    <row r="7" spans="1:16" ht="15">
      <c r="A7" s="3206"/>
      <c r="B7" s="3207"/>
      <c r="C7" s="3208"/>
      <c r="D7" s="2229" t="s">
        <v>1909</v>
      </c>
      <c r="E7" s="2234" t="s">
        <v>1916</v>
      </c>
      <c r="F7" s="1392"/>
      <c r="G7" s="2226" t="s">
        <v>1917</v>
      </c>
      <c r="H7" s="64"/>
      <c r="I7" s="420"/>
      <c r="J7" s="1392"/>
      <c r="K7" s="1392"/>
      <c r="L7" s="1392"/>
      <c r="M7" s="1392"/>
      <c r="N7" s="1392"/>
      <c r="O7" s="1392"/>
      <c r="P7" s="1392"/>
    </row>
    <row r="8" spans="1:16">
      <c r="A8" s="47" t="s">
        <v>1918</v>
      </c>
      <c r="B8" s="50" t="s">
        <v>1919</v>
      </c>
      <c r="C8" s="48" t="s">
        <v>1920</v>
      </c>
      <c r="D8" s="48">
        <f t="shared" ref="D8:D15" si="0">ROUND($D$3*E8/$E$3,2)</f>
        <v>13616.41</v>
      </c>
      <c r="E8" s="51">
        <f>SUMIF('数据-基础表'!BB10:BK10,"地上",'数据-基础表'!BB5:BK5)</f>
        <v>51317.149999999921</v>
      </c>
      <c r="F8" s="1392"/>
      <c r="G8" s="2235"/>
      <c r="H8" s="2235"/>
      <c r="I8" s="1392"/>
      <c r="J8" s="1392"/>
      <c r="K8" s="1392"/>
      <c r="L8" s="1392"/>
      <c r="M8" s="1392"/>
      <c r="N8" s="1392"/>
      <c r="O8" s="1392"/>
      <c r="P8" s="1392"/>
    </row>
    <row r="9" spans="1:16">
      <c r="A9" s="2236"/>
      <c r="B9" s="2237"/>
      <c r="C9" s="48" t="s">
        <v>1921</v>
      </c>
      <c r="D9" s="48">
        <f t="shared" si="0"/>
        <v>0</v>
      </c>
      <c r="E9" s="52">
        <v>0</v>
      </c>
      <c r="F9" s="1392"/>
      <c r="G9" s="2235"/>
      <c r="H9" s="2235"/>
      <c r="I9" s="1392"/>
      <c r="J9" s="1392"/>
      <c r="K9" s="1392"/>
      <c r="L9" s="1392"/>
      <c r="M9" s="1392"/>
      <c r="N9" s="1392"/>
      <c r="O9" s="1392"/>
      <c r="P9" s="1392"/>
    </row>
    <row r="10" spans="1:16">
      <c r="A10" s="2236"/>
      <c r="B10" s="2237"/>
      <c r="C10" s="48" t="s">
        <v>1930</v>
      </c>
      <c r="D10" s="48">
        <f t="shared" si="0"/>
        <v>0</v>
      </c>
      <c r="E10" s="51">
        <f>SUMPRODUCT(('数据-基础表'!BB10:BK10="地下")*('数据-基础表'!BB11:BK11="商业")*('数据-基础表'!BB5:BK5))</f>
        <v>0</v>
      </c>
      <c r="F10" s="1392"/>
      <c r="G10" s="2235"/>
      <c r="H10" s="2235"/>
      <c r="I10" s="1392"/>
      <c r="J10" s="1392"/>
      <c r="K10" s="1392"/>
      <c r="L10" s="1392"/>
      <c r="M10" s="1392"/>
      <c r="N10" s="1392"/>
      <c r="O10" s="1392"/>
      <c r="P10" s="1392"/>
    </row>
    <row r="11" spans="1:16">
      <c r="A11" s="2236"/>
      <c r="B11" s="2237"/>
      <c r="C11" s="48" t="s">
        <v>1922</v>
      </c>
      <c r="D11" s="48">
        <f t="shared" si="0"/>
        <v>0</v>
      </c>
      <c r="E11" s="51">
        <f>SUMPRODUCT(('数据-基础表'!BB10:BK10="地下")*('数据-基础表'!BB11:BK11="办公")*('数据-基础表'!BB5:BK5))+'数据-基础表'!BP5</f>
        <v>0</v>
      </c>
      <c r="F11" s="1392"/>
      <c r="G11" s="2235"/>
      <c r="H11" s="2235"/>
      <c r="I11" s="1392"/>
      <c r="J11" s="1392"/>
      <c r="K11" s="1392"/>
      <c r="L11" s="1392"/>
      <c r="M11" s="1392"/>
      <c r="N11" s="1392"/>
      <c r="O11" s="1392"/>
      <c r="P11" s="1392"/>
    </row>
    <row r="12" spans="1:16">
      <c r="A12" s="2236"/>
      <c r="B12" s="2237"/>
      <c r="C12" s="48" t="s">
        <v>1923</v>
      </c>
      <c r="D12" s="48">
        <f t="shared" si="0"/>
        <v>9870.4500000000007</v>
      </c>
      <c r="E12" s="51">
        <f>SUMPRODUCT(('数据-基础表'!BB10:BK10="地下")*('数据-基础表'!BB11:BK11="仓储")*('数据-基础表'!BB5:BK5))</f>
        <v>37199.47</v>
      </c>
      <c r="F12" s="1392"/>
      <c r="G12" s="2235"/>
      <c r="H12" s="2235"/>
      <c r="I12" s="1392"/>
      <c r="J12" s="1392"/>
      <c r="K12" s="1392"/>
      <c r="L12" s="1392"/>
      <c r="M12" s="1392"/>
      <c r="N12" s="1392"/>
      <c r="O12" s="1392"/>
      <c r="P12" s="1392"/>
    </row>
    <row r="13" spans="1:16">
      <c r="A13" s="2236"/>
      <c r="B13" s="2237"/>
      <c r="C13" s="48" t="s">
        <v>1924</v>
      </c>
      <c r="D13" s="48">
        <f t="shared" si="0"/>
        <v>6686.93</v>
      </c>
      <c r="E13" s="51">
        <f>SUMPRODUCT(('数据-基础表'!BB10:BK10="地下")*('数据-基础表'!BB11:BK11="车库")*('数据-基础表'!BB5:BK5))</f>
        <v>25201.510000000002</v>
      </c>
      <c r="F13" s="1392"/>
      <c r="G13" s="2235"/>
      <c r="H13" s="2235"/>
      <c r="I13" s="1392"/>
      <c r="J13" s="1392"/>
      <c r="K13" s="1392"/>
      <c r="L13" s="1392"/>
      <c r="M13" s="1392"/>
      <c r="N13" s="1392"/>
      <c r="O13" s="1392"/>
      <c r="P13" s="1392"/>
    </row>
    <row r="14" spans="1:16">
      <c r="A14" s="2236"/>
      <c r="B14" s="2237"/>
      <c r="C14" s="48" t="s">
        <v>1936</v>
      </c>
      <c r="D14" s="48">
        <f t="shared" si="0"/>
        <v>0</v>
      </c>
      <c r="E14" s="51">
        <f>SUMPRODUCT(('数据-基础表'!BB10:BK10="地下")*('数据-基础表'!BB11:BK11="车库—商业")*('数据-基础表'!BB5:BK5))</f>
        <v>0</v>
      </c>
      <c r="F14" s="1392"/>
      <c r="G14" s="2235"/>
      <c r="H14" s="2235"/>
      <c r="I14" s="1392"/>
      <c r="J14" s="1392"/>
      <c r="K14" s="1392"/>
      <c r="L14" s="1392"/>
      <c r="M14" s="1392"/>
      <c r="N14" s="1392"/>
      <c r="O14" s="1392"/>
      <c r="P14" s="1392"/>
    </row>
    <row r="15" spans="1:16" ht="15" thickBot="1">
      <c r="A15" s="2236"/>
      <c r="B15" s="2237"/>
      <c r="C15" s="48" t="s">
        <v>1931</v>
      </c>
      <c r="D15" s="48">
        <f t="shared" si="0"/>
        <v>0</v>
      </c>
      <c r="E15" s="51">
        <f>SUMPRODUCT(('数据-基础表'!BB10:BK10="地下")*('数据-基础表'!BB11:BK11="车库—办公")*('数据-基础表'!BB5:BK5))</f>
        <v>0</v>
      </c>
      <c r="F15" s="1392"/>
      <c r="G15" s="2235"/>
      <c r="H15" s="2235"/>
      <c r="I15" s="1392"/>
      <c r="J15" s="1392"/>
      <c r="K15" s="1392"/>
      <c r="L15" s="1392"/>
      <c r="M15" s="1392"/>
      <c r="N15" s="1392"/>
      <c r="O15" s="1392"/>
      <c r="P15" s="1392"/>
    </row>
    <row r="16" spans="1:16" ht="15.75" thickBot="1">
      <c r="A16" s="2232"/>
      <c r="B16" s="2237"/>
      <c r="C16" s="50" t="s">
        <v>1925</v>
      </c>
      <c r="D16" s="50">
        <f>SUM(D8:D15)</f>
        <v>30173.79</v>
      </c>
      <c r="E16" s="53">
        <f>SUM(E8:E15)</f>
        <v>113718.12999999992</v>
      </c>
      <c r="F16" s="1392"/>
      <c r="G16" s="2235"/>
      <c r="H16" s="2238" t="s">
        <v>1937</v>
      </c>
      <c r="I16" s="2239"/>
      <c r="J16" s="1392"/>
      <c r="K16" s="3203" t="s">
        <v>1937</v>
      </c>
      <c r="L16" s="3204"/>
      <c r="M16" s="3204"/>
      <c r="N16" s="3204"/>
      <c r="O16" s="3204"/>
      <c r="P16" s="3205"/>
    </row>
    <row r="17" spans="1:19" ht="15">
      <c r="A17" s="2240" t="s">
        <v>1938</v>
      </c>
      <c r="B17" s="2241" t="s">
        <v>1939</v>
      </c>
      <c r="C17" s="2242" t="s">
        <v>1940</v>
      </c>
      <c r="D17" s="2243" t="s">
        <v>1928</v>
      </c>
      <c r="E17" s="2244" t="s">
        <v>1929</v>
      </c>
      <c r="F17" s="2245"/>
      <c r="G17" s="2246"/>
      <c r="H17" s="2247" t="s">
        <v>1941</v>
      </c>
      <c r="I17" s="2248" t="s">
        <v>1926</v>
      </c>
      <c r="J17" s="1392"/>
      <c r="K17" s="3200" t="s">
        <v>1942</v>
      </c>
      <c r="L17" s="3201"/>
      <c r="M17" s="3202"/>
      <c r="N17" s="3200" t="s">
        <v>1943</v>
      </c>
      <c r="O17" s="3201"/>
      <c r="P17" s="3202"/>
      <c r="R17" s="2226" t="s">
        <v>1944</v>
      </c>
      <c r="S17" s="64"/>
    </row>
    <row r="18" spans="1:19" ht="15">
      <c r="A18" s="2236"/>
      <c r="B18" s="2249"/>
      <c r="C18" s="2250"/>
      <c r="D18" s="2251"/>
      <c r="E18" s="2252" t="s">
        <v>1945</v>
      </c>
      <c r="F18" s="2253" t="s">
        <v>1946</v>
      </c>
      <c r="G18" s="2254" t="s">
        <v>1947</v>
      </c>
      <c r="H18" s="1262" t="s">
        <v>1948</v>
      </c>
      <c r="I18" s="2255" t="s">
        <v>1949</v>
      </c>
      <c r="J18" s="1392"/>
      <c r="K18" s="1262" t="s">
        <v>1950</v>
      </c>
      <c r="L18" s="2256" t="s">
        <v>1951</v>
      </c>
      <c r="M18" s="1046" t="s">
        <v>1952</v>
      </c>
      <c r="N18" s="1262" t="s">
        <v>1950</v>
      </c>
      <c r="O18" s="2256" t="s">
        <v>1951</v>
      </c>
      <c r="P18" s="1046" t="s">
        <v>1952</v>
      </c>
      <c r="R18" s="1247" t="s">
        <v>1953</v>
      </c>
      <c r="S18" s="1247" t="s">
        <v>1954</v>
      </c>
    </row>
    <row r="19" spans="1:19">
      <c r="A19" s="2257"/>
      <c r="B19" s="50" t="s">
        <v>1927</v>
      </c>
      <c r="C19" s="2978" t="s">
        <v>3159</v>
      </c>
      <c r="D19" s="48">
        <f>ROUND($D$3*E19/$E$3,2)</f>
        <v>10644.3</v>
      </c>
      <c r="E19" s="56">
        <f t="shared" ref="E19:E26" si="1">SUM(F19:G19)</f>
        <v>40115.94</v>
      </c>
      <c r="F19" s="57">
        <f>'数据-基础表'!I13+'数据-基础表'!I14+'数据-基础表'!I15+'数据-基础表'!I17+'数据-基础表'!I18+'数据-基础表'!I19+'数据-基础表'!I20+'数据-基础表'!I21+SUM('数据-基础表'!I23:I33)</f>
        <v>40115.94</v>
      </c>
      <c r="G19" s="58"/>
      <c r="H19" s="723">
        <f>ROUND($D$3*I19/$E$3,2)</f>
        <v>276.47000000000003</v>
      </c>
      <c r="I19" s="51">
        <f t="shared" ref="I19:I26" si="2">IF($I$17="自定义",P19,M19)</f>
        <v>1041.97</v>
      </c>
      <c r="J19" s="1392"/>
      <c r="K19" s="1391">
        <f t="shared" ref="K19:K26" si="3">ROUND(E$28*E19/E$27,2)</f>
        <v>1041.97</v>
      </c>
      <c r="L19" s="1247">
        <f t="shared" ref="L19:L26" si="4">ROUND(IF(COUNTIF(C19,"*住宅*")&gt;0,E$29*E19/E$32,0),2)</f>
        <v>0</v>
      </c>
      <c r="M19" s="1403">
        <f>K19+L19</f>
        <v>1041.97</v>
      </c>
      <c r="N19" s="2258"/>
      <c r="O19" s="2259"/>
      <c r="P19" s="1403">
        <f>N19+O19</f>
        <v>0</v>
      </c>
      <c r="R19" s="1247">
        <f t="shared" ref="R19:S26" si="5">D19+H19</f>
        <v>10920.769999999999</v>
      </c>
      <c r="S19" s="1248">
        <f t="shared" si="5"/>
        <v>41157.910000000003</v>
      </c>
    </row>
    <row r="20" spans="1:19">
      <c r="A20" s="2260"/>
      <c r="B20" s="50" t="s">
        <v>1955</v>
      </c>
      <c r="C20" s="2978" t="s">
        <v>3161</v>
      </c>
      <c r="D20" s="48">
        <f t="shared" ref="D20:D26" si="6">ROUND($D$3*E20/$E$3,2)</f>
        <v>2972.11</v>
      </c>
      <c r="E20" s="56">
        <f t="shared" si="1"/>
        <v>11201.209999999926</v>
      </c>
      <c r="F20" s="57">
        <f>'数据-基础表'!O35+'数据-基础表'!O36</f>
        <v>11201.209999999926</v>
      </c>
      <c r="G20" s="58"/>
      <c r="H20" s="723">
        <f t="shared" ref="H20:H26" si="7">ROUND($D$3*I20/$E$3,2)</f>
        <v>77.2</v>
      </c>
      <c r="I20" s="51">
        <f t="shared" si="2"/>
        <v>290.94</v>
      </c>
      <c r="J20" s="1392"/>
      <c r="K20" s="1391">
        <f t="shared" si="3"/>
        <v>290.94</v>
      </c>
      <c r="L20" s="1247">
        <f t="shared" si="4"/>
        <v>0</v>
      </c>
      <c r="M20" s="1403">
        <f t="shared" ref="M20:M26" si="8">K20+L20</f>
        <v>290.94</v>
      </c>
      <c r="N20" s="2258"/>
      <c r="O20" s="2259"/>
      <c r="P20" s="1403">
        <f t="shared" ref="P20:P26" si="9">N20+O20</f>
        <v>0</v>
      </c>
      <c r="R20" s="1247">
        <f t="shared" si="5"/>
        <v>3049.31</v>
      </c>
      <c r="S20" s="1248">
        <f t="shared" si="5"/>
        <v>11492.149999999927</v>
      </c>
    </row>
    <row r="21" spans="1:19">
      <c r="A21" s="2260"/>
      <c r="B21" s="50" t="s">
        <v>1955</v>
      </c>
      <c r="C21" s="2978" t="s">
        <v>3163</v>
      </c>
      <c r="D21" s="48">
        <f t="shared" si="6"/>
        <v>2058.5300000000002</v>
      </c>
      <c r="E21" s="56">
        <f t="shared" si="1"/>
        <v>7758.13</v>
      </c>
      <c r="F21" s="57"/>
      <c r="G21" s="58">
        <f>SUM('数据-基础表'!K35:K40)</f>
        <v>7758.13</v>
      </c>
      <c r="H21" s="723">
        <f t="shared" si="7"/>
        <v>53.47</v>
      </c>
      <c r="I21" s="51">
        <f t="shared" si="2"/>
        <v>201.51</v>
      </c>
      <c r="J21" s="1392"/>
      <c r="K21" s="1391">
        <f t="shared" si="3"/>
        <v>201.51</v>
      </c>
      <c r="L21" s="1247">
        <f t="shared" si="4"/>
        <v>0</v>
      </c>
      <c r="M21" s="1403">
        <f t="shared" si="8"/>
        <v>201.51</v>
      </c>
      <c r="N21" s="2258"/>
      <c r="O21" s="2259"/>
      <c r="P21" s="1403">
        <f t="shared" si="9"/>
        <v>0</v>
      </c>
      <c r="R21" s="1247">
        <f t="shared" si="5"/>
        <v>2112</v>
      </c>
      <c r="S21" s="1248">
        <f t="shared" si="5"/>
        <v>7959.64</v>
      </c>
    </row>
    <row r="22" spans="1:19">
      <c r="A22" s="2260"/>
      <c r="B22" s="50" t="s">
        <v>1955</v>
      </c>
      <c r="C22" s="2979" t="s">
        <v>3164</v>
      </c>
      <c r="D22" s="48">
        <f t="shared" si="6"/>
        <v>2708.61</v>
      </c>
      <c r="E22" s="56">
        <f t="shared" si="1"/>
        <v>10208.15</v>
      </c>
      <c r="F22" s="61"/>
      <c r="G22" s="62">
        <f>'数据-基础表'!M36+'数据-基础表'!M39</f>
        <v>10208.15</v>
      </c>
      <c r="H22" s="723">
        <f t="shared" si="7"/>
        <v>70.349999999999994</v>
      </c>
      <c r="I22" s="51">
        <f t="shared" si="2"/>
        <v>265.14999999999998</v>
      </c>
      <c r="J22" s="1392"/>
      <c r="K22" s="1391">
        <f t="shared" si="3"/>
        <v>265.14999999999998</v>
      </c>
      <c r="L22" s="1247">
        <f t="shared" si="4"/>
        <v>0</v>
      </c>
      <c r="M22" s="1403">
        <f t="shared" si="8"/>
        <v>265.14999999999998</v>
      </c>
      <c r="N22" s="2258"/>
      <c r="O22" s="2259"/>
      <c r="P22" s="1403">
        <f t="shared" si="9"/>
        <v>0</v>
      </c>
      <c r="R22" s="1247">
        <f t="shared" si="5"/>
        <v>2778.96</v>
      </c>
      <c r="S22" s="1248">
        <f t="shared" si="5"/>
        <v>10473.299999999999</v>
      </c>
    </row>
    <row r="23" spans="1:19">
      <c r="A23" s="2260"/>
      <c r="B23" s="50" t="s">
        <v>1955</v>
      </c>
      <c r="C23" s="2979" t="s">
        <v>3361</v>
      </c>
      <c r="D23" s="48">
        <f>ROUND($D$3*E23/$E$3,2)</f>
        <v>3978.31</v>
      </c>
      <c r="E23" s="56">
        <f>SUM(F23:G23)</f>
        <v>14993.36</v>
      </c>
      <c r="F23" s="61"/>
      <c r="G23" s="62">
        <f>SUM('数据-基础表'!M13:M34)</f>
        <v>14993.36</v>
      </c>
      <c r="H23" s="723">
        <f>ROUND($D$3*I23/$E$3,2)</f>
        <v>103.33</v>
      </c>
      <c r="I23" s="51">
        <f t="shared" si="2"/>
        <v>389.44</v>
      </c>
      <c r="J23" s="1392"/>
      <c r="K23" s="1391">
        <f t="shared" si="3"/>
        <v>389.44</v>
      </c>
      <c r="L23" s="1247">
        <f t="shared" si="4"/>
        <v>0</v>
      </c>
      <c r="M23" s="1403">
        <f t="shared" si="8"/>
        <v>389.44</v>
      </c>
      <c r="N23" s="2258"/>
      <c r="O23" s="2259"/>
      <c r="P23" s="1403">
        <f t="shared" si="9"/>
        <v>0</v>
      </c>
      <c r="R23" s="1247">
        <f t="shared" si="5"/>
        <v>4081.64</v>
      </c>
      <c r="S23" s="1248">
        <f t="shared" si="5"/>
        <v>15382.800000000001</v>
      </c>
    </row>
    <row r="24" spans="1:19">
      <c r="A24" s="2260"/>
      <c r="B24" s="50" t="s">
        <v>1955</v>
      </c>
      <c r="C24" s="2979" t="s">
        <v>3394</v>
      </c>
      <c r="D24" s="48">
        <f>ROUND($D$3*E24/$E$3,2)</f>
        <v>7811.92</v>
      </c>
      <c r="E24" s="56">
        <f>SUM(F24:G24)</f>
        <v>29441.34</v>
      </c>
      <c r="F24" s="61"/>
      <c r="G24" s="62">
        <f>SUM('数据-基础表'!K13:K34)</f>
        <v>29441.34</v>
      </c>
      <c r="H24" s="723">
        <f>ROUND($D$3*I24/$E$3,2)</f>
        <v>202.91</v>
      </c>
      <c r="I24" s="51">
        <f t="shared" si="2"/>
        <v>764.71</v>
      </c>
      <c r="J24" s="1392"/>
      <c r="K24" s="1391">
        <f t="shared" si="3"/>
        <v>764.71</v>
      </c>
      <c r="L24" s="1247">
        <f t="shared" si="4"/>
        <v>0</v>
      </c>
      <c r="M24" s="1403">
        <f t="shared" si="8"/>
        <v>764.71</v>
      </c>
      <c r="N24" s="2258"/>
      <c r="O24" s="2259"/>
      <c r="P24" s="1403">
        <f t="shared" si="9"/>
        <v>0</v>
      </c>
      <c r="R24" s="1247">
        <f t="shared" si="5"/>
        <v>8014.83</v>
      </c>
      <c r="S24" s="1248">
        <f t="shared" si="5"/>
        <v>30206.05</v>
      </c>
    </row>
    <row r="25" spans="1:19">
      <c r="A25" s="2260"/>
      <c r="B25" s="50" t="s">
        <v>1955</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8"/>
      <c r="O25" s="2259"/>
      <c r="P25" s="1403">
        <f t="shared" si="9"/>
        <v>0</v>
      </c>
      <c r="R25" s="1247">
        <f t="shared" si="5"/>
        <v>0</v>
      </c>
      <c r="S25" s="1248">
        <f t="shared" si="5"/>
        <v>0</v>
      </c>
    </row>
    <row r="26" spans="1:19">
      <c r="A26" s="2260"/>
      <c r="B26" s="50" t="s">
        <v>1955</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1"/>
      <c r="O26" s="2262"/>
      <c r="P26" s="67">
        <f t="shared" si="9"/>
        <v>0</v>
      </c>
      <c r="R26" s="1247">
        <f t="shared" si="5"/>
        <v>0</v>
      </c>
      <c r="S26" s="1248">
        <f t="shared" si="5"/>
        <v>0</v>
      </c>
    </row>
    <row r="27" spans="1:19" ht="43.5" thickBot="1">
      <c r="A27" s="2260"/>
      <c r="B27" s="48"/>
      <c r="C27" s="2263" t="s">
        <v>1956</v>
      </c>
      <c r="D27" s="1393">
        <f>SUM(D19:D26)</f>
        <v>30173.78</v>
      </c>
      <c r="E27" s="1394">
        <f>IF(SUM(E19:E26)='数据-基础表'!BA5,SUM(E19:E26),IF(F27="地上面积有误","面积有误","地下面积有误"))</f>
        <v>113718.12999999992</v>
      </c>
      <c r="F27" s="1393">
        <f>IF(SUM(F19:F26)=E8,SUM(F19:F26),"地上面积有误")</f>
        <v>51317.149999999929</v>
      </c>
      <c r="G27" s="1395">
        <f>SUM(G19:G26)</f>
        <v>62400.979999999996</v>
      </c>
      <c r="H27" s="1396">
        <f>SUM(H19:H26)</f>
        <v>783.73</v>
      </c>
      <c r="I27" s="1397">
        <f>SUM(I19:I26)</f>
        <v>2953.7200000000003</v>
      </c>
      <c r="J27" s="1392"/>
      <c r="K27" s="1400">
        <f>SUM(K19:K26)</f>
        <v>2953.7200000000003</v>
      </c>
      <c r="L27" s="1401">
        <f>SUM(L19:L26)</f>
        <v>0</v>
      </c>
      <c r="M27" s="1404">
        <f>SUM(M19:M26)</f>
        <v>2953.7200000000003</v>
      </c>
      <c r="N27" s="1400">
        <f t="shared" ref="N27:O27" si="10">SUM(N19:N26)</f>
        <v>0</v>
      </c>
      <c r="O27" s="1401">
        <f t="shared" si="10"/>
        <v>0</v>
      </c>
      <c r="P27" s="1402">
        <f>SUM(P19:P26)</f>
        <v>0</v>
      </c>
      <c r="R27" s="1249" t="str">
        <f>IF(SUM(R19:R26)=$D$3,SUM(R19:R26),SUM(R19:R26)&amp;"误差"&amp;ROUND(SUM(R19:R26)-$D$3,2))</f>
        <v>30957.51误差-179.46</v>
      </c>
      <c r="S27" s="1247" t="str">
        <f>IF(SUM(S19:S26)=$E$3,SUM(S19:S26),SUM(S19:S26)&amp;"误差"&amp;ROUND(SUM(S19:S26)-E3,2))</f>
        <v>116671.85误差-676.31</v>
      </c>
    </row>
    <row r="28" spans="1:19">
      <c r="A28" s="2260"/>
      <c r="B28" s="50" t="s">
        <v>1957</v>
      </c>
      <c r="C28" s="1259" t="s">
        <v>1958</v>
      </c>
      <c r="D28" s="48">
        <f>ROUND($D$3*E28/$E$3,2)</f>
        <v>783.73</v>
      </c>
      <c r="E28" s="56">
        <f>SUM(F28:G28)</f>
        <v>2953.7000000000003</v>
      </c>
      <c r="F28" s="64">
        <f>'数据-基础表'!BQ5+'数据-基础表'!BS5</f>
        <v>388.3</v>
      </c>
      <c r="G28" s="65">
        <f>'数据-基础表'!BR5+'数据-基础表'!BT5</f>
        <v>2565.4</v>
      </c>
      <c r="H28" s="1392"/>
      <c r="I28" s="1392"/>
      <c r="J28" s="1392"/>
      <c r="K28" s="1392"/>
      <c r="L28" s="1392"/>
      <c r="M28" s="1392"/>
      <c r="N28" s="1392"/>
      <c r="O28" s="1392"/>
      <c r="P28" s="1392"/>
    </row>
    <row r="29" spans="1:19">
      <c r="A29" s="2260"/>
      <c r="B29" s="50" t="s">
        <v>1957</v>
      </c>
      <c r="C29" s="2264" t="s">
        <v>1959</v>
      </c>
      <c r="D29" s="48">
        <f>ROUND($D$3*E29/$E$3,2)</f>
        <v>179.46</v>
      </c>
      <c r="E29" s="56">
        <f>SUM(F29:G29)</f>
        <v>676.32999999999993</v>
      </c>
      <c r="F29" s="66">
        <f>'数据-基础表'!BM5+'数据-基础表'!BO5</f>
        <v>416.67999999999995</v>
      </c>
      <c r="G29" s="67">
        <f>'数据-基础表'!BN5+'数据-基础表'!BP5</f>
        <v>259.64999999999998</v>
      </c>
      <c r="H29" s="1392"/>
      <c r="I29" s="1392"/>
      <c r="J29" s="1392"/>
      <c r="K29" s="1392"/>
      <c r="L29" s="1392"/>
      <c r="M29" s="1392"/>
      <c r="N29" s="1392"/>
      <c r="O29" s="1392"/>
      <c r="P29" s="1392"/>
    </row>
    <row r="30" spans="1:19" ht="15">
      <c r="A30" s="2260"/>
      <c r="B30" s="50"/>
      <c r="C30" s="2265" t="s">
        <v>1956</v>
      </c>
      <c r="D30" s="1393">
        <f>SUM(D28:D29)</f>
        <v>963.19</v>
      </c>
      <c r="E30" s="1393">
        <f>SUM(E28:E29)</f>
        <v>3630.03</v>
      </c>
      <c r="F30" s="1393">
        <f>SUM(F28:F29)</f>
        <v>804.98</v>
      </c>
      <c r="G30" s="1395">
        <f>SUM(G28:G29)</f>
        <v>2825.05</v>
      </c>
      <c r="H30" s="1392"/>
      <c r="I30" s="1392"/>
      <c r="J30" s="1392"/>
      <c r="K30" s="1392"/>
      <c r="L30" s="1392"/>
      <c r="M30" s="1392"/>
      <c r="N30" s="1392"/>
      <c r="O30" s="1392"/>
      <c r="P30" s="1392"/>
    </row>
    <row r="31" spans="1:19" ht="15.75" thickBot="1">
      <c r="A31" s="2266"/>
      <c r="B31" s="2267"/>
      <c r="C31" s="1007" t="s">
        <v>1960</v>
      </c>
      <c r="D31" s="729">
        <f>D27+D30</f>
        <v>31136.969999999998</v>
      </c>
      <c r="E31" s="729">
        <f>E27+E30</f>
        <v>117348.15999999992</v>
      </c>
      <c r="F31" s="730">
        <f>F27+F30</f>
        <v>52122.129999999932</v>
      </c>
      <c r="G31" s="731">
        <f>G27+G30</f>
        <v>65226.03</v>
      </c>
      <c r="H31" s="1392"/>
      <c r="I31" s="1392"/>
      <c r="J31" s="1392"/>
      <c r="K31" s="1392"/>
      <c r="L31" s="1392"/>
      <c r="M31" s="1392"/>
      <c r="N31" s="1392"/>
      <c r="O31" s="1392"/>
      <c r="P31" s="1392"/>
    </row>
    <row r="32" spans="1:19">
      <c r="A32" s="2231"/>
      <c r="B32" s="2231" t="s">
        <v>1961</v>
      </c>
      <c r="C32" s="2231"/>
      <c r="D32" s="2231"/>
      <c r="E32" s="1274">
        <f>SUMIF(C19:C26,"*住宅*",E19:E26)</f>
        <v>0</v>
      </c>
      <c r="F32" s="2231"/>
      <c r="G32" s="2231"/>
      <c r="H32" s="1392"/>
      <c r="I32" s="1392"/>
      <c r="J32" s="1392"/>
      <c r="K32" s="1392"/>
      <c r="L32" s="1392"/>
      <c r="M32" s="1392"/>
      <c r="N32" s="1392"/>
      <c r="O32" s="1392"/>
      <c r="P32" s="1392"/>
    </row>
    <row r="33" spans="4:4">
      <c r="D33" s="2268"/>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Q7" sqref="Q7"/>
    </sheetView>
  </sheetViews>
  <sheetFormatPr defaultColWidth="13.75" defaultRowHeight="12.75"/>
  <cols>
    <col min="1" max="1" width="20.875" style="2342" customWidth="1"/>
    <col min="2" max="2" width="12" style="2272" customWidth="1"/>
    <col min="3" max="3" width="10.75" style="2272" customWidth="1"/>
    <col min="4" max="4" width="9.125" style="2343" customWidth="1"/>
    <col min="5" max="5" width="15" style="2272" bestFit="1" customWidth="1"/>
    <col min="6" max="10" width="8.875" style="2272" customWidth="1"/>
    <col min="11" max="12" width="12.375" style="2187" customWidth="1"/>
    <col min="13" max="13" width="8.625" style="2272" customWidth="1"/>
    <col min="14" max="14" width="11.875" style="2272" customWidth="1"/>
    <col min="15" max="15" width="8.5" style="2272" customWidth="1"/>
    <col min="16" max="17" width="10.875" style="2272" customWidth="1"/>
    <col min="18" max="19" width="12.5" style="2272" customWidth="1"/>
    <col min="20" max="20" width="12.125" style="2272" customWidth="1"/>
    <col min="21" max="21" width="7.5" style="2272" customWidth="1"/>
    <col min="22" max="22" width="6.375" style="2272" customWidth="1"/>
    <col min="23" max="30" width="6.75" style="2272" customWidth="1"/>
    <col min="31" max="31" width="8" style="2272" customWidth="1"/>
    <col min="32" max="34" width="7.25" style="2272" customWidth="1"/>
    <col min="35" max="39" width="8" style="2272" customWidth="1"/>
    <col min="40" max="40" width="13.75" style="2271"/>
    <col min="41" max="41" width="11.625" style="2271" customWidth="1"/>
    <col min="42" max="42" width="9.75" style="2271" customWidth="1"/>
    <col min="43" max="67" width="13.75" style="2271"/>
    <col min="68" max="16384" width="13.75" style="2272"/>
  </cols>
  <sheetData>
    <row r="1" spans="1:67" ht="19.5" thickBot="1">
      <c r="A1" s="2269" t="s">
        <v>1962</v>
      </c>
      <c r="B1" s="732"/>
      <c r="C1" s="1581"/>
      <c r="D1" s="2270"/>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1" customFormat="1" ht="15.75" thickBot="1">
      <c r="A2" s="2273" t="s">
        <v>1963</v>
      </c>
      <c r="B2" s="1266">
        <f>项目基本情况!D3</f>
        <v>43111</v>
      </c>
      <c r="C2" s="2274"/>
      <c r="D2" s="2275"/>
      <c r="E2" s="2274"/>
      <c r="F2" s="2274"/>
      <c r="G2" s="2274"/>
      <c r="H2" s="2274"/>
      <c r="I2" s="2274"/>
      <c r="J2" s="2274"/>
      <c r="K2" s="1427"/>
      <c r="L2" s="1427"/>
      <c r="M2" s="2274"/>
      <c r="N2" s="2274"/>
      <c r="O2" s="2274"/>
      <c r="P2" s="2274"/>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6"/>
      <c r="AO2" s="2276"/>
      <c r="AP2" s="2276"/>
      <c r="AQ2" s="2276"/>
      <c r="AR2" s="2276"/>
      <c r="AS2" s="2276"/>
      <c r="AT2" s="2276"/>
      <c r="AU2" s="2276"/>
      <c r="AV2" s="2276"/>
      <c r="AW2" s="2276"/>
      <c r="AX2" s="2276"/>
      <c r="AY2" s="2276"/>
      <c r="AZ2" s="2276"/>
      <c r="BA2" s="2276"/>
      <c r="BB2" s="2276"/>
      <c r="BC2" s="2276"/>
      <c r="BD2" s="2276"/>
      <c r="BE2" s="2276"/>
      <c r="BF2" s="2276"/>
      <c r="BG2" s="2276"/>
      <c r="BH2" s="2276"/>
      <c r="BI2" s="2276"/>
      <c r="BJ2" s="2276"/>
      <c r="BK2" s="2276"/>
      <c r="BL2" s="2276"/>
      <c r="BM2" s="2276"/>
      <c r="BN2" s="2276"/>
      <c r="BO2" s="2276"/>
    </row>
    <row r="3" spans="1:67" s="2031" customFormat="1" ht="15" thickBot="1">
      <c r="A3" s="2029"/>
      <c r="B3" s="2277"/>
      <c r="C3" s="2274"/>
      <c r="D3" s="2275"/>
      <c r="E3" s="2274"/>
      <c r="F3" s="2274"/>
      <c r="G3" s="2274"/>
      <c r="H3" s="2274"/>
      <c r="I3" s="2274"/>
      <c r="J3" s="2274"/>
      <c r="K3" s="1427"/>
      <c r="L3" s="1427"/>
      <c r="M3" s="2274"/>
      <c r="N3" s="2274"/>
      <c r="O3" s="2274"/>
      <c r="P3" s="2274"/>
      <c r="Q3" s="2274"/>
      <c r="R3" s="2274"/>
      <c r="S3" s="2274"/>
      <c r="T3" s="2274"/>
      <c r="U3" s="2274"/>
      <c r="V3" s="2274"/>
      <c r="W3" s="2274"/>
      <c r="X3" s="2274"/>
      <c r="Y3" s="2274"/>
      <c r="Z3" s="2274"/>
      <c r="AA3" s="2274"/>
      <c r="AB3" s="2274"/>
      <c r="AC3" s="2274"/>
      <c r="AD3" s="2274"/>
      <c r="AE3" s="2274"/>
      <c r="AF3" s="2274"/>
      <c r="AG3" s="2274"/>
      <c r="AH3" s="2274"/>
      <c r="AI3" s="2274"/>
      <c r="AJ3" s="2274"/>
      <c r="AK3" s="2274"/>
      <c r="AL3" s="2274"/>
      <c r="AM3" s="2274"/>
      <c r="AN3" s="2276"/>
      <c r="AO3" s="2276"/>
      <c r="AP3" s="2276"/>
      <c r="AQ3" s="2276"/>
      <c r="AR3" s="2276"/>
      <c r="AS3" s="2276"/>
      <c r="AT3" s="2276"/>
      <c r="AU3" s="2276"/>
      <c r="AV3" s="2276"/>
      <c r="AW3" s="2276"/>
      <c r="AX3" s="2276"/>
      <c r="AY3" s="2276"/>
      <c r="AZ3" s="2276"/>
      <c r="BA3" s="2276"/>
      <c r="BB3" s="2276"/>
      <c r="BC3" s="2276"/>
      <c r="BD3" s="2276"/>
      <c r="BE3" s="2276"/>
      <c r="BF3" s="2276"/>
      <c r="BG3" s="2276"/>
      <c r="BH3" s="2276"/>
      <c r="BI3" s="2276"/>
      <c r="BJ3" s="2276"/>
      <c r="BK3" s="2276"/>
      <c r="BL3" s="2276"/>
      <c r="BM3" s="2276"/>
      <c r="BN3" s="2276"/>
      <c r="BO3" s="2276"/>
    </row>
    <row r="4" spans="1:67" s="2031" customFormat="1" ht="15" thickBot="1">
      <c r="A4" s="68" t="s">
        <v>1964</v>
      </c>
      <c r="B4" s="2278"/>
      <c r="C4" s="2279"/>
      <c r="D4" s="2280"/>
      <c r="E4" s="2279" t="s">
        <v>1965</v>
      </c>
      <c r="F4" s="2279"/>
      <c r="G4" s="2279"/>
      <c r="H4" s="2279"/>
      <c r="I4" s="2279"/>
      <c r="J4" s="2281"/>
      <c r="K4" s="2282"/>
      <c r="L4" s="2283"/>
      <c r="M4" s="2279"/>
      <c r="N4" s="2279" t="s">
        <v>1966</v>
      </c>
      <c r="O4" s="2279"/>
      <c r="P4" s="2279"/>
      <c r="Q4" s="2279"/>
      <c r="R4" s="2279"/>
      <c r="S4" s="2281"/>
      <c r="T4" s="2284" t="str">
        <f>'数据-汇总表'!I17</f>
        <v>按面积比例</v>
      </c>
      <c r="U4" s="2278" t="s">
        <v>1967</v>
      </c>
      <c r="V4" s="2279"/>
      <c r="W4" s="2279"/>
      <c r="X4" s="2279"/>
      <c r="Y4" s="2281"/>
      <c r="Z4" s="2242" t="s">
        <v>1968</v>
      </c>
      <c r="AA4" s="2242"/>
      <c r="AB4" s="2242"/>
      <c r="AC4" s="2242"/>
      <c r="AD4" s="2242"/>
      <c r="AE4" s="2240" t="s">
        <v>1969</v>
      </c>
      <c r="AF4" s="2242"/>
      <c r="AG4" s="2285"/>
      <c r="AH4" s="2278"/>
      <c r="AI4" s="2279"/>
      <c r="AJ4" s="2279"/>
      <c r="AK4" s="2279"/>
      <c r="AL4" s="2279"/>
      <c r="AM4" s="2281"/>
      <c r="AN4" s="2276"/>
      <c r="AO4" s="2276"/>
      <c r="AP4" s="2276"/>
      <c r="AQ4" s="2276"/>
      <c r="AR4" s="2276"/>
      <c r="AS4" s="2276"/>
      <c r="AT4" s="2276"/>
      <c r="AU4" s="2276"/>
      <c r="AV4" s="2276"/>
      <c r="AW4" s="2276"/>
      <c r="AX4" s="2276"/>
      <c r="AY4" s="2276"/>
      <c r="AZ4" s="2276"/>
      <c r="BA4" s="2276"/>
      <c r="BB4" s="2276"/>
      <c r="BC4" s="2276"/>
      <c r="BD4" s="2276"/>
      <c r="BE4" s="2276"/>
      <c r="BF4" s="2276"/>
      <c r="BG4" s="2276"/>
      <c r="BH4" s="2276"/>
      <c r="BI4" s="2276"/>
      <c r="BJ4" s="2276"/>
      <c r="BK4" s="2276"/>
      <c r="BL4" s="2276"/>
      <c r="BM4" s="2276"/>
      <c r="BN4" s="2276"/>
      <c r="BO4" s="2276"/>
    </row>
    <row r="5" spans="1:67" s="2032" customFormat="1" ht="42">
      <c r="A5" s="2286" t="s">
        <v>1970</v>
      </c>
      <c r="B5" s="2287" t="s">
        <v>1971</v>
      </c>
      <c r="C5" s="2288" t="s">
        <v>1972</v>
      </c>
      <c r="D5" s="2289" t="s">
        <v>1973</v>
      </c>
      <c r="E5" s="1268" t="s">
        <v>1974</v>
      </c>
      <c r="F5" s="2290" t="s">
        <v>1975</v>
      </c>
      <c r="G5" s="1268" t="s">
        <v>1976</v>
      </c>
      <c r="H5" s="1268" t="s">
        <v>1977</v>
      </c>
      <c r="I5" s="1268" t="s">
        <v>1978</v>
      </c>
      <c r="J5" s="2291" t="s">
        <v>1979</v>
      </c>
      <c r="K5" s="2292" t="s">
        <v>1980</v>
      </c>
      <c r="L5" s="2293" t="s">
        <v>1981</v>
      </c>
      <c r="M5" s="2294" t="s">
        <v>1982</v>
      </c>
      <c r="N5" s="2295" t="s">
        <v>1983</v>
      </c>
      <c r="O5" s="2293" t="s">
        <v>1984</v>
      </c>
      <c r="P5" s="2296" t="s">
        <v>1985</v>
      </c>
      <c r="Q5" s="69" t="s">
        <v>1986</v>
      </c>
      <c r="R5" s="2297" t="s">
        <v>1987</v>
      </c>
      <c r="S5" s="2298" t="s">
        <v>1988</v>
      </c>
      <c r="T5" s="2299" t="s">
        <v>1989</v>
      </c>
      <c r="U5" s="1267" t="s">
        <v>1990</v>
      </c>
      <c r="V5" s="1268" t="s">
        <v>1991</v>
      </c>
      <c r="W5" s="1268" t="s">
        <v>1992</v>
      </c>
      <c r="X5" s="71"/>
      <c r="Y5" s="70" t="s">
        <v>1993</v>
      </c>
      <c r="Z5" s="2300" t="s">
        <v>1990</v>
      </c>
      <c r="AA5" s="1268" t="s">
        <v>1991</v>
      </c>
      <c r="AB5" s="1268" t="s">
        <v>1992</v>
      </c>
      <c r="AC5" s="71"/>
      <c r="AD5" s="71" t="s">
        <v>1993</v>
      </c>
      <c r="AE5" s="1267" t="s">
        <v>1994</v>
      </c>
      <c r="AF5" s="1268" t="s">
        <v>1995</v>
      </c>
      <c r="AG5" s="70" t="s">
        <v>1996</v>
      </c>
      <c r="AH5" s="1267" t="s">
        <v>1997</v>
      </c>
      <c r="AI5" s="2300" t="s">
        <v>1998</v>
      </c>
      <c r="AJ5" s="2300" t="s">
        <v>1999</v>
      </c>
      <c r="AK5" s="1268" t="s">
        <v>2000</v>
      </c>
      <c r="AL5" s="1268" t="s">
        <v>2001</v>
      </c>
      <c r="AM5" s="70" t="s">
        <v>2002</v>
      </c>
      <c r="AN5" s="2301" t="s">
        <v>2003</v>
      </c>
      <c r="AO5" s="2072" t="s">
        <v>2004</v>
      </c>
      <c r="AP5" s="1249" t="s">
        <v>2005</v>
      </c>
      <c r="AQ5" s="2302" t="s">
        <v>2006</v>
      </c>
      <c r="AR5" s="2302" t="s">
        <v>2007</v>
      </c>
      <c r="AS5" s="2155"/>
      <c r="AT5" s="2155"/>
      <c r="AU5" s="2155"/>
      <c r="AV5" s="2155"/>
      <c r="AW5" s="2155"/>
      <c r="AX5" s="2155"/>
      <c r="AY5" s="2155"/>
      <c r="AZ5" s="2155"/>
      <c r="BA5" s="2155"/>
      <c r="BB5" s="2155"/>
      <c r="BC5" s="2155"/>
      <c r="BD5" s="2155"/>
      <c r="BE5" s="2155"/>
      <c r="BF5" s="2155"/>
      <c r="BG5" s="2155"/>
      <c r="BH5" s="2155"/>
      <c r="BI5" s="2155"/>
      <c r="BJ5" s="2155"/>
      <c r="BK5" s="2155"/>
      <c r="BL5" s="2155"/>
      <c r="BM5" s="2155"/>
      <c r="BN5" s="2155"/>
      <c r="BO5" s="2155"/>
    </row>
    <row r="6" spans="1:67" s="2031" customFormat="1" ht="14.25">
      <c r="A6" s="2303" t="str">
        <f>'数据-汇总表'!C19</f>
        <v>商品房</v>
      </c>
      <c r="B6" s="2304" t="str">
        <f>IF(A6=0,"","经营性")</f>
        <v>经营性</v>
      </c>
      <c r="C6" s="2305" t="s">
        <v>3151</v>
      </c>
      <c r="D6" s="1051">
        <f>SUMIF(项目基本情况!D$12:I$12,C6,项目基本情况!D$14:I$14)</f>
        <v>70</v>
      </c>
      <c r="E6" s="1048">
        <f>IF(B6="","",SUMIF(项目基本情况!D$12:I$12,C6,项目基本情况!D$13:I$13))</f>
        <v>67921</v>
      </c>
      <c r="F6" s="72">
        <f>SUMIF(项目基本情况!D$12:I$12,C6,项目基本情况!D$15:I$15)</f>
        <v>67.97</v>
      </c>
      <c r="G6" s="73">
        <f>IF(ISERROR(ROUND(POWER(1+H6,D6-F6)*(POWER(1+H6,F6)-1)/(POWER(1+H6,D6)-1),3)),0,ROUND(POWER(1+H6,D6-F6)*(POWER(1+H6,F6)-1)/(POWER(1+H6,D6)-1),3))</f>
        <v>0.996</v>
      </c>
      <c r="H6" s="802">
        <v>4.4999999999999998E-2</v>
      </c>
      <c r="I6" s="802">
        <v>5.5E-2</v>
      </c>
      <c r="J6" s="74">
        <v>8.5000000000000006E-2</v>
      </c>
      <c r="K6" s="1251">
        <f>SUMIF('数据-汇总表'!C$19:C$33,A6,'数据-汇总表'!E$19:E$33)</f>
        <v>40115.94</v>
      </c>
      <c r="L6" s="3010">
        <v>2600</v>
      </c>
      <c r="M6" s="75">
        <f t="shared" ref="M6:M14" si="0">ROUND(K6*L6/10000,0)</f>
        <v>10430</v>
      </c>
      <c r="N6" s="801">
        <f>N22</f>
        <v>0.51</v>
      </c>
      <c r="O6" s="75">
        <f>IF($N$5="成新度","——",ROUND(M6*N6,0))</f>
        <v>5319</v>
      </c>
      <c r="P6" s="76">
        <f>IF($N$5="成新度","——",M6-O6)</f>
        <v>5111</v>
      </c>
      <c r="Q6" s="804">
        <v>0.25</v>
      </c>
      <c r="R6" s="77">
        <f ca="1">SUMIF('数据-汇总表'!C$19:C$33,A6,'数据-汇总表'!R$19:R$27)</f>
        <v>10920.769999999999</v>
      </c>
      <c r="S6" s="54">
        <f>IF('数据-汇总表'!$I$17="按面积比例",SUMIF('数据-汇总表'!C$19:C$33,A6,'数据-汇总表'!K$19:K$33),SUMIF('数据-汇总表'!C$19:C$33,A6,'数据-汇总表'!N$19:N$33))</f>
        <v>1041.97</v>
      </c>
      <c r="T6" s="1443">
        <f>ROUND($L$14*S6/10000,0)</f>
        <v>188</v>
      </c>
      <c r="U6" s="78"/>
      <c r="V6" s="79"/>
      <c r="W6" s="79"/>
      <c r="X6" s="1261"/>
      <c r="Y6" s="80"/>
      <c r="Z6" s="81"/>
      <c r="AA6" s="74"/>
      <c r="AB6" s="74"/>
      <c r="AC6" s="1261"/>
      <c r="AD6" s="82"/>
      <c r="AE6" s="1262">
        <f ca="1">IF(AN6="",0,SUMIF(INDIRECT("'"&amp;AN6&amp;"'"&amp;"!E:E"),$AE$5,INDIRECT("'"&amp;AN6&amp;"'"&amp;"!F:F")))</f>
        <v>0</v>
      </c>
      <c r="AF6" s="1804"/>
      <c r="AG6" s="147">
        <f>IF(AF6="",0,AE6-AF6)</f>
        <v>0</v>
      </c>
      <c r="AH6" s="83"/>
      <c r="AI6" s="85"/>
      <c r="AJ6" s="86"/>
      <c r="AK6" s="87"/>
      <c r="AL6" s="88"/>
      <c r="AM6" s="89"/>
      <c r="AN6" s="2306"/>
      <c r="AO6" s="55" t="e">
        <f ca="1">SUMIF(INDIRECT("'"&amp;AN6&amp;"'"&amp;"!A:A"),"总价",INDIRECT("'"&amp;AN6&amp;"'"&amp;"!B:B"))</f>
        <v>#REF!</v>
      </c>
      <c r="AP6" s="2307">
        <f>IF(C6="住宅",K6*L6,0)</f>
        <v>104301444</v>
      </c>
      <c r="AQ6" s="55">
        <f>ROUND($L$14*$N$14*S6/10000,0)</f>
        <v>128</v>
      </c>
      <c r="AR6" s="55">
        <f>ROUND($L$14*(1-$N$14)*S6/10000,0)</f>
        <v>60</v>
      </c>
      <c r="AS6" s="2276"/>
      <c r="AT6" s="2276"/>
      <c r="AU6" s="2276"/>
      <c r="AV6" s="2276"/>
      <c r="AW6" s="2276"/>
      <c r="AX6" s="2276"/>
      <c r="AY6" s="2276"/>
      <c r="AZ6" s="2276"/>
      <c r="BA6" s="2276"/>
      <c r="BB6" s="2276"/>
      <c r="BC6" s="2276"/>
      <c r="BD6" s="2276"/>
      <c r="BE6" s="2276"/>
      <c r="BF6" s="2276"/>
      <c r="BG6" s="2276"/>
      <c r="BH6" s="2276"/>
      <c r="BI6" s="2276"/>
      <c r="BJ6" s="2276"/>
      <c r="BK6" s="2276"/>
      <c r="BL6" s="2276"/>
      <c r="BM6" s="2276"/>
      <c r="BN6" s="2276"/>
      <c r="BO6" s="2276"/>
    </row>
    <row r="7" spans="1:67" s="2031" customFormat="1" ht="14.25">
      <c r="A7" s="2303" t="str">
        <f>'数据-汇总表'!C20</f>
        <v>限价房</v>
      </c>
      <c r="B7" s="2304" t="str">
        <f t="shared" ref="B7:B13" si="1">IF(A7=0,"","经营性")</f>
        <v>经营性</v>
      </c>
      <c r="C7" s="2305" t="s">
        <v>3151</v>
      </c>
      <c r="D7" s="1051">
        <f>SUMIF(项目基本情况!D$12:I$12,C7,项目基本情况!D$14:I$14)</f>
        <v>70</v>
      </c>
      <c r="E7" s="1048">
        <f>IF(B7="","",SUMIF(项目基本情况!D$12:I$12,C7,项目基本情况!D$13:I$13))</f>
        <v>67921</v>
      </c>
      <c r="F7" s="72">
        <f>SUMIF(项目基本情况!D$12:I$12,C7,项目基本情况!D$15:I$15)</f>
        <v>67.97</v>
      </c>
      <c r="G7" s="73">
        <f t="shared" ref="G7:G11" si="2">IF(ISERROR(ROUND(POWER(1+H7,D7-F7)*(POWER(1+H7,F7)-1)/(POWER(1+H7,D7)-1),3)),0,ROUND(POWER(1+H7,D7-F7)*(POWER(1+H7,F7)-1)/(POWER(1+H7,D7)-1),3))</f>
        <v>0.996</v>
      </c>
      <c r="H7" s="802">
        <v>4.4999999999999998E-2</v>
      </c>
      <c r="I7" s="802">
        <v>0.05</v>
      </c>
      <c r="J7" s="74">
        <v>8.5000000000000006E-2</v>
      </c>
      <c r="K7" s="1251">
        <f>SUMIF('数据-汇总表'!C$19:C$33,A7,'数据-汇总表'!E$19:E$33)</f>
        <v>11201.209999999926</v>
      </c>
      <c r="L7" s="803">
        <v>2400</v>
      </c>
      <c r="M7" s="75">
        <f t="shared" si="0"/>
        <v>2688</v>
      </c>
      <c r="N7" s="801">
        <v>0.7</v>
      </c>
      <c r="O7" s="75">
        <f t="shared" ref="O7:O14" si="3">IF($N$5="成新度","——",ROUND(M7*N7,0))</f>
        <v>1882</v>
      </c>
      <c r="P7" s="76">
        <f t="shared" ref="P7:P14" si="4">IF($N$5="成新度","——",M7-O7)</f>
        <v>806</v>
      </c>
      <c r="Q7" s="804">
        <v>0.03</v>
      </c>
      <c r="R7" s="77">
        <f ca="1">SUMIF('数据-汇总表'!C$19:C$33,A7,'数据-汇总表'!R$19:R$27)</f>
        <v>3049.31</v>
      </c>
      <c r="S7" s="54">
        <f>IF('数据-汇总表'!$I$17="按面积比例",SUMIF('数据-汇总表'!C$19:C$33,A7,'数据-汇总表'!K$19:K$33),SUMIF('数据-汇总表'!C$19:C$33,A7,'数据-汇总表'!N$19:N$33))</f>
        <v>290.94</v>
      </c>
      <c r="T7" s="1443">
        <f t="shared" ref="T7:T13" si="5">ROUND($L$14*S7/10000,0)</f>
        <v>52</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c r="AL7" s="88"/>
      <c r="AM7" s="89"/>
      <c r="AN7" s="2306"/>
      <c r="AO7" s="55" t="e">
        <f t="shared" ref="AO7:AO13" ca="1" si="8">SUMIF(INDIRECT("'"&amp;AN7&amp;"'"&amp;"!A:A"),"总价",INDIRECT("'"&amp;AN7&amp;"'"&amp;"!B:B"))</f>
        <v>#REF!</v>
      </c>
      <c r="AP7" s="2307">
        <f t="shared" ref="AP7:AP13" si="9">IF(C7="住宅",K7*L7,0)</f>
        <v>26882903.999999825</v>
      </c>
      <c r="AQ7" s="55">
        <f t="shared" ref="AQ7:AQ13" si="10">ROUND($L$14*$N$14*S7/10000,0)</f>
        <v>36</v>
      </c>
      <c r="AR7" s="55">
        <f t="shared" ref="AR7:AR13" si="11">ROUND($L$14*(1-$N$14)*S7/10000,0)</f>
        <v>17</v>
      </c>
      <c r="AS7" s="2276"/>
      <c r="AT7" s="2276"/>
      <c r="AU7" s="2276"/>
      <c r="AV7" s="2276"/>
      <c r="AW7" s="2276"/>
      <c r="AX7" s="2276"/>
      <c r="AY7" s="2276"/>
      <c r="AZ7" s="2276"/>
      <c r="BA7" s="2276"/>
      <c r="BB7" s="2276"/>
      <c r="BC7" s="2276"/>
      <c r="BD7" s="2276"/>
      <c r="BE7" s="2276"/>
      <c r="BF7" s="2276"/>
      <c r="BG7" s="2276"/>
      <c r="BH7" s="2276"/>
      <c r="BI7" s="2276"/>
      <c r="BJ7" s="2276"/>
      <c r="BK7" s="2276"/>
      <c r="BL7" s="2276"/>
      <c r="BM7" s="2276"/>
      <c r="BN7" s="2276"/>
      <c r="BO7" s="2276"/>
    </row>
    <row r="8" spans="1:67" s="2031" customFormat="1" ht="14.25">
      <c r="A8" s="2303" t="str">
        <f>'数据-汇总表'!C21</f>
        <v>地下仓储</v>
      </c>
      <c r="B8" s="2304" t="str">
        <f t="shared" si="1"/>
        <v>经营性</v>
      </c>
      <c r="C8" s="2305" t="s">
        <v>3154</v>
      </c>
      <c r="D8" s="1051">
        <f>SUMIF(项目基本情况!D$12:I$12,C8,项目基本情况!D$14:I$14)</f>
        <v>50</v>
      </c>
      <c r="E8" s="1048">
        <f>IF(B8="","",SUMIF(项目基本情况!D$12:I$12,C8,项目基本情况!D$13:I$13))</f>
        <v>60616</v>
      </c>
      <c r="F8" s="72">
        <f>SUMIF(项目基本情况!D$12:I$12,C8,项目基本情况!D$15:I$15)</f>
        <v>47.95</v>
      </c>
      <c r="G8" s="73">
        <f t="shared" si="2"/>
        <v>0.98599999999999999</v>
      </c>
      <c r="H8" s="802">
        <v>0.04</v>
      </c>
      <c r="I8" s="802">
        <v>0.05</v>
      </c>
      <c r="J8" s="74">
        <v>8.5000000000000006E-2</v>
      </c>
      <c r="K8" s="1251">
        <f>SUMIF('数据-汇总表'!C$19:C$33,A8,'数据-汇总表'!E$19:E$33)</f>
        <v>7758.13</v>
      </c>
      <c r="L8" s="803">
        <v>2200</v>
      </c>
      <c r="M8" s="75">
        <f>ROUND(K8*L8/10000,0)</f>
        <v>1707</v>
      </c>
      <c r="N8" s="3008">
        <v>0.9</v>
      </c>
      <c r="O8" s="75">
        <f t="shared" si="3"/>
        <v>1536</v>
      </c>
      <c r="P8" s="76">
        <f t="shared" si="4"/>
        <v>171</v>
      </c>
      <c r="Q8" s="804">
        <v>0.1</v>
      </c>
      <c r="R8" s="77">
        <f ca="1">SUMIF('数据-汇总表'!C$19:C$33,A8,'数据-汇总表'!R$19:R$27)</f>
        <v>2112</v>
      </c>
      <c r="S8" s="54">
        <f>IF('数据-汇总表'!$I$17="按面积比例",SUMIF('数据-汇总表'!C$19:C$33,A8,'数据-汇总表'!K$19:K$33),SUMIF('数据-汇总表'!C$19:C$33,A8,'数据-汇总表'!N$19:N$33))</f>
        <v>201.51</v>
      </c>
      <c r="T8" s="1443">
        <f t="shared" si="5"/>
        <v>36</v>
      </c>
      <c r="U8" s="805">
        <v>1.3</v>
      </c>
      <c r="V8" s="806">
        <v>2.5000000000000001E-2</v>
      </c>
      <c r="W8" s="806">
        <v>0.1</v>
      </c>
      <c r="X8" s="1261"/>
      <c r="Y8" s="807"/>
      <c r="Z8" s="81"/>
      <c r="AA8" s="74"/>
      <c r="AB8" s="74"/>
      <c r="AC8" s="1261"/>
      <c r="AD8" s="82"/>
      <c r="AE8" s="1262">
        <f t="shared" ca="1" si="6"/>
        <v>46.85</v>
      </c>
      <c r="AF8" s="1804"/>
      <c r="AG8" s="147">
        <f t="shared" si="7"/>
        <v>0</v>
      </c>
      <c r="AH8" s="808"/>
      <c r="AI8" s="85">
        <v>365</v>
      </c>
      <c r="AJ8" s="86"/>
      <c r="AK8" s="87">
        <v>1.4999999999999999E-2</v>
      </c>
      <c r="AL8" s="88">
        <v>1.5E-3</v>
      </c>
      <c r="AM8" s="89">
        <v>1.4999999999999999E-2</v>
      </c>
      <c r="AN8" s="2306" t="s">
        <v>3165</v>
      </c>
      <c r="AO8" s="55">
        <f t="shared" ca="1" si="8"/>
        <v>6712</v>
      </c>
      <c r="AP8" s="2307">
        <f t="shared" si="9"/>
        <v>0</v>
      </c>
      <c r="AQ8" s="55">
        <f t="shared" si="10"/>
        <v>25</v>
      </c>
      <c r="AR8" s="55">
        <f t="shared" si="11"/>
        <v>12</v>
      </c>
      <c r="AS8" s="2276"/>
      <c r="AT8" s="2276"/>
      <c r="AU8" s="2276"/>
      <c r="AV8" s="2276"/>
      <c r="AW8" s="2276"/>
      <c r="AX8" s="2276"/>
      <c r="AY8" s="2276"/>
      <c r="AZ8" s="2276"/>
      <c r="BA8" s="2276"/>
      <c r="BB8" s="2276"/>
      <c r="BC8" s="2276"/>
      <c r="BD8" s="2276"/>
      <c r="BE8" s="2276"/>
      <c r="BF8" s="2276"/>
      <c r="BG8" s="2276"/>
      <c r="BH8" s="2276"/>
      <c r="BI8" s="2276"/>
      <c r="BJ8" s="2276"/>
      <c r="BK8" s="2276"/>
      <c r="BL8" s="2276"/>
      <c r="BM8" s="2276"/>
      <c r="BN8" s="2276"/>
      <c r="BO8" s="2276"/>
    </row>
    <row r="9" spans="1:67" s="2031" customFormat="1" ht="14.25">
      <c r="A9" s="2303" t="str">
        <f>'数据-汇总表'!C22</f>
        <v>地下车库</v>
      </c>
      <c r="B9" s="2304" t="str">
        <f t="shared" si="1"/>
        <v>经营性</v>
      </c>
      <c r="C9" s="2305" t="s">
        <v>3156</v>
      </c>
      <c r="D9" s="1051">
        <f>SUMIF(项目基本情况!D$12:I$12,C9,项目基本情况!D$14:I$14)</f>
        <v>50</v>
      </c>
      <c r="E9" s="1048">
        <f>IF(B9="","",SUMIF(项目基本情况!D$12:I$12,C9,项目基本情况!D$13:I$13))</f>
        <v>60616</v>
      </c>
      <c r="F9" s="72">
        <f>SUMIF(项目基本情况!D$12:I$12,C9,项目基本情况!D$15:I$15)</f>
        <v>47.95</v>
      </c>
      <c r="G9" s="73">
        <f t="shared" si="2"/>
        <v>0.98599999999999999</v>
      </c>
      <c r="H9" s="74">
        <v>0.04</v>
      </c>
      <c r="I9" s="802">
        <v>0.05</v>
      </c>
      <c r="J9" s="74">
        <v>8.5000000000000006E-2</v>
      </c>
      <c r="K9" s="1251">
        <f>SUMIF('数据-汇总表'!C$19:C$33,A9,'数据-汇总表'!E$19:E$33)</f>
        <v>10208.15</v>
      </c>
      <c r="L9" s="803">
        <v>2200</v>
      </c>
      <c r="M9" s="75">
        <f t="shared" si="0"/>
        <v>2246</v>
      </c>
      <c r="N9" s="3008">
        <v>0.9</v>
      </c>
      <c r="O9" s="75">
        <f t="shared" si="3"/>
        <v>2021</v>
      </c>
      <c r="P9" s="76">
        <f t="shared" si="4"/>
        <v>225</v>
      </c>
      <c r="Q9" s="90">
        <v>0.1</v>
      </c>
      <c r="R9" s="77">
        <f ca="1">SUMIF('数据-汇总表'!C$19:C$33,A9,'数据-汇总表'!R$19:R$27)</f>
        <v>2778.96</v>
      </c>
      <c r="S9" s="54">
        <f>IF('数据-汇总表'!$I$17="按面积比例",SUMIF('数据-汇总表'!C$19:C$33,A9,'数据-汇总表'!K$19:K$33),SUMIF('数据-汇总表'!C$19:C$33,A9,'数据-汇总表'!N$19:N$33))</f>
        <v>265.14999999999998</v>
      </c>
      <c r="T9" s="1443">
        <f t="shared" si="5"/>
        <v>48</v>
      </c>
      <c r="U9" s="78">
        <v>1.4</v>
      </c>
      <c r="V9" s="79">
        <v>2.5000000000000001E-2</v>
      </c>
      <c r="W9" s="79">
        <v>0.1</v>
      </c>
      <c r="X9" s="1261"/>
      <c r="Y9" s="80"/>
      <c r="Z9" s="81"/>
      <c r="AA9" s="74"/>
      <c r="AB9" s="74"/>
      <c r="AC9" s="1261"/>
      <c r="AD9" s="82"/>
      <c r="AE9" s="1262">
        <f t="shared" ca="1" si="6"/>
        <v>46.85</v>
      </c>
      <c r="AF9" s="1804"/>
      <c r="AG9" s="147">
        <f t="shared" si="7"/>
        <v>0</v>
      </c>
      <c r="AH9" s="83"/>
      <c r="AI9" s="85">
        <v>365</v>
      </c>
      <c r="AJ9" s="86"/>
      <c r="AK9" s="87">
        <v>1.4999999999999999E-2</v>
      </c>
      <c r="AL9" s="88">
        <v>1.5E-3</v>
      </c>
      <c r="AM9" s="89">
        <v>1.4999999999999999E-2</v>
      </c>
      <c r="AN9" s="2306" t="s">
        <v>3166</v>
      </c>
      <c r="AO9" s="55">
        <f t="shared" ca="1" si="8"/>
        <v>9689</v>
      </c>
      <c r="AP9" s="2307">
        <f t="shared" si="9"/>
        <v>0</v>
      </c>
      <c r="AQ9" s="55">
        <f t="shared" si="10"/>
        <v>32</v>
      </c>
      <c r="AR9" s="55">
        <f t="shared" si="11"/>
        <v>15</v>
      </c>
      <c r="AS9" s="2276"/>
      <c r="AT9" s="2276"/>
      <c r="AU9" s="2276"/>
      <c r="AV9" s="2276"/>
      <c r="AW9" s="2276"/>
      <c r="AX9" s="2276"/>
      <c r="AY9" s="2276"/>
      <c r="AZ9" s="2276"/>
      <c r="BA9" s="2276"/>
      <c r="BB9" s="2276"/>
      <c r="BC9" s="2276"/>
      <c r="BD9" s="2276"/>
      <c r="BE9" s="2276"/>
      <c r="BF9" s="2276"/>
      <c r="BG9" s="2276"/>
      <c r="BH9" s="2276"/>
      <c r="BI9" s="2276"/>
      <c r="BJ9" s="2276"/>
      <c r="BK9" s="2276"/>
      <c r="BL9" s="2276"/>
      <c r="BM9" s="2276"/>
      <c r="BN9" s="2276"/>
      <c r="BO9" s="2276"/>
    </row>
    <row r="10" spans="1:67" s="2031" customFormat="1" ht="14.25">
      <c r="A10" s="2303" t="str">
        <f>'数据-汇总表'!C23</f>
        <v>叠拼车位</v>
      </c>
      <c r="B10" s="2304" t="str">
        <f t="shared" si="1"/>
        <v>经营性</v>
      </c>
      <c r="C10" s="2305" t="s">
        <v>3156</v>
      </c>
      <c r="D10" s="1051">
        <f>SUMIF(项目基本情况!D$12:I$12,C10,项目基本情况!D$14:I$14)</f>
        <v>50</v>
      </c>
      <c r="E10" s="1048">
        <f>IF(B10="","",SUMIF(项目基本情况!D$12:I$12,C10,项目基本情况!D$13:I$13))</f>
        <v>60616</v>
      </c>
      <c r="F10" s="72">
        <f>SUMIF(项目基本情况!D$12:I$12,C10,项目基本情况!D$15:I$15)</f>
        <v>47.95</v>
      </c>
      <c r="G10" s="73">
        <f t="shared" si="2"/>
        <v>0.98599999999999999</v>
      </c>
      <c r="H10" s="74">
        <v>0.04</v>
      </c>
      <c r="I10" s="802">
        <v>0.05</v>
      </c>
      <c r="J10" s="74">
        <v>8.5000000000000006E-2</v>
      </c>
      <c r="K10" s="1251">
        <f>SUMIF('数据-汇总表'!C$19:C$33,A10,'数据-汇总表'!E$19:E$33)</f>
        <v>14993.36</v>
      </c>
      <c r="L10" s="803">
        <v>2200</v>
      </c>
      <c r="M10" s="75">
        <f t="shared" si="0"/>
        <v>3299</v>
      </c>
      <c r="N10" s="801">
        <v>0.65</v>
      </c>
      <c r="O10" s="75">
        <f t="shared" si="3"/>
        <v>2144</v>
      </c>
      <c r="P10" s="76">
        <f t="shared" si="4"/>
        <v>1155</v>
      </c>
      <c r="Q10" s="90">
        <v>0.1</v>
      </c>
      <c r="R10" s="77">
        <f ca="1">SUMIF('数据-汇总表'!C$19:C$33,A10,'数据-汇总表'!R$19:R$27)</f>
        <v>4081.64</v>
      </c>
      <c r="S10" s="54">
        <f>IF('数据-汇总表'!$I$17="按面积比例",SUMIF('数据-汇总表'!C$19:C$33,A10,'数据-汇总表'!K$19:K$33),SUMIF('数据-汇总表'!C$19:C$33,A10,'数据-汇总表'!N$19:N$33))</f>
        <v>389.44</v>
      </c>
      <c r="T10" s="1443">
        <f t="shared" si="5"/>
        <v>70</v>
      </c>
      <c r="U10" s="78">
        <v>2</v>
      </c>
      <c r="V10" s="79">
        <v>2.5000000000000001E-2</v>
      </c>
      <c r="W10" s="79">
        <v>0.05</v>
      </c>
      <c r="X10" s="1261"/>
      <c r="Y10" s="80"/>
      <c r="Z10" s="81"/>
      <c r="AA10" s="74"/>
      <c r="AB10" s="74"/>
      <c r="AC10" s="1261"/>
      <c r="AD10" s="82"/>
      <c r="AE10" s="1262">
        <f t="shared" ca="1" si="6"/>
        <v>46.85</v>
      </c>
      <c r="AF10" s="1804"/>
      <c r="AG10" s="147">
        <f t="shared" si="7"/>
        <v>0</v>
      </c>
      <c r="AH10" s="83"/>
      <c r="AI10" s="85">
        <v>365</v>
      </c>
      <c r="AJ10" s="86"/>
      <c r="AK10" s="87">
        <v>1.4999999999999999E-2</v>
      </c>
      <c r="AL10" s="88">
        <v>1.5E-3</v>
      </c>
      <c r="AM10" s="89">
        <v>1.4999999999999999E-2</v>
      </c>
      <c r="AN10" s="2306" t="s">
        <v>3362</v>
      </c>
      <c r="AO10" s="55">
        <f t="shared" ca="1" si="8"/>
        <v>23087</v>
      </c>
      <c r="AP10" s="2307">
        <f t="shared" si="9"/>
        <v>0</v>
      </c>
      <c r="AQ10" s="55">
        <f t="shared" si="10"/>
        <v>48</v>
      </c>
      <c r="AR10" s="55">
        <f t="shared" si="11"/>
        <v>22</v>
      </c>
      <c r="AS10" s="2276"/>
      <c r="AT10" s="2276"/>
      <c r="AU10" s="2276"/>
      <c r="AV10" s="2276"/>
      <c r="AW10" s="2276"/>
      <c r="AX10" s="2276"/>
      <c r="AY10" s="2276"/>
      <c r="AZ10" s="2276"/>
      <c r="BA10" s="2276"/>
      <c r="BB10" s="2276"/>
      <c r="BC10" s="2276"/>
      <c r="BD10" s="2276"/>
      <c r="BE10" s="2276"/>
      <c r="BF10" s="2276"/>
      <c r="BG10" s="2276"/>
      <c r="BH10" s="2276"/>
      <c r="BI10" s="2276"/>
      <c r="BJ10" s="2276"/>
      <c r="BK10" s="2276"/>
      <c r="BL10" s="2276"/>
      <c r="BM10" s="2276"/>
      <c r="BN10" s="2276"/>
      <c r="BO10" s="2276"/>
    </row>
    <row r="11" spans="1:67" s="2031" customFormat="1" ht="14.25">
      <c r="A11" s="2303" t="str">
        <f>'数据-汇总表'!C24</f>
        <v>商品房仓储</v>
      </c>
      <c r="B11" s="2304" t="str">
        <f t="shared" si="1"/>
        <v>经营性</v>
      </c>
      <c r="C11" s="2305" t="s">
        <v>3154</v>
      </c>
      <c r="D11" s="1051">
        <f>SUMIF(项目基本情况!D$12:I$12,C11,项目基本情况!D$14:I$14)</f>
        <v>50</v>
      </c>
      <c r="E11" s="1048">
        <f>IF(B11="","",SUMIF(项目基本情况!D$12:I$12,C11,项目基本情况!D$13:I$13))</f>
        <v>60616</v>
      </c>
      <c r="F11" s="72">
        <f>SUMIF(项目基本情况!D$12:I$12,C11,项目基本情况!D$15:I$15)</f>
        <v>47.95</v>
      </c>
      <c r="G11" s="73">
        <f t="shared" si="2"/>
        <v>0.98599999999999999</v>
      </c>
      <c r="H11" s="74">
        <v>0.04</v>
      </c>
      <c r="I11" s="802">
        <v>0.05</v>
      </c>
      <c r="J11" s="74">
        <v>8.5000000000000006E-2</v>
      </c>
      <c r="K11" s="1251">
        <f>SUMIF('数据-汇总表'!C$19:C$33,A11,'数据-汇总表'!E$19:E$33)</f>
        <v>29441.34</v>
      </c>
      <c r="L11" s="91">
        <v>2200</v>
      </c>
      <c r="M11" s="75">
        <f t="shared" si="0"/>
        <v>6477</v>
      </c>
      <c r="N11" s="92">
        <v>0.65</v>
      </c>
      <c r="O11" s="75">
        <f t="shared" si="3"/>
        <v>4210</v>
      </c>
      <c r="P11" s="76">
        <f t="shared" si="4"/>
        <v>2267</v>
      </c>
      <c r="Q11" s="90">
        <v>0.1</v>
      </c>
      <c r="R11" s="77">
        <f ca="1">SUMIF('数据-汇总表'!C$19:C$33,A11,'数据-汇总表'!R$19:R$27)</f>
        <v>8014.83</v>
      </c>
      <c r="S11" s="54">
        <f>IF('数据-汇总表'!$I$17="按面积比例",SUMIF('数据-汇总表'!C$19:C$33,A11,'数据-汇总表'!K$19:K$33),SUMIF('数据-汇总表'!C$19:C$33,A11,'数据-汇总表'!N$19:N$33))</f>
        <v>764.71</v>
      </c>
      <c r="T11" s="1443">
        <f t="shared" si="5"/>
        <v>138</v>
      </c>
      <c r="U11" s="83">
        <v>2.5</v>
      </c>
      <c r="V11" s="74">
        <v>2.5000000000000001E-2</v>
      </c>
      <c r="W11" s="74">
        <v>0.05</v>
      </c>
      <c r="X11" s="1261"/>
      <c r="Y11" s="80"/>
      <c r="Z11" s="93"/>
      <c r="AA11" s="74"/>
      <c r="AB11" s="74"/>
      <c r="AC11" s="1261"/>
      <c r="AD11" s="82"/>
      <c r="AE11" s="1262">
        <f t="shared" ca="1" si="6"/>
        <v>46.85</v>
      </c>
      <c r="AF11" s="1804"/>
      <c r="AG11" s="147">
        <f t="shared" si="7"/>
        <v>0</v>
      </c>
      <c r="AH11" s="83"/>
      <c r="AI11" s="85">
        <v>365</v>
      </c>
      <c r="AJ11" s="86"/>
      <c r="AK11" s="87">
        <v>1.4999999999999999E-2</v>
      </c>
      <c r="AL11" s="88">
        <v>1.5E-3</v>
      </c>
      <c r="AM11" s="89">
        <v>1.4999999999999999E-2</v>
      </c>
      <c r="AN11" s="2306" t="s">
        <v>3395</v>
      </c>
      <c r="AO11" s="55">
        <f t="shared" ca="1" si="8"/>
        <v>58218</v>
      </c>
      <c r="AP11" s="2307">
        <f t="shared" si="9"/>
        <v>0</v>
      </c>
      <c r="AQ11" s="55">
        <f t="shared" si="10"/>
        <v>94</v>
      </c>
      <c r="AR11" s="55">
        <f t="shared" si="11"/>
        <v>44</v>
      </c>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row>
    <row r="12" spans="1:67" s="2031" customFormat="1" ht="14.25">
      <c r="A12" s="2303">
        <f>'数据-汇总表'!C25</f>
        <v>0</v>
      </c>
      <c r="B12" s="2304" t="str">
        <f t="shared" si="1"/>
        <v/>
      </c>
      <c r="C12" s="2305"/>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6"/>
      <c r="AO12" s="55" t="e">
        <f t="shared" ca="1" si="8"/>
        <v>#REF!</v>
      </c>
      <c r="AP12" s="2307">
        <f t="shared" si="9"/>
        <v>0</v>
      </c>
      <c r="AQ12" s="55">
        <f t="shared" si="10"/>
        <v>0</v>
      </c>
      <c r="AR12" s="55">
        <f t="shared" si="11"/>
        <v>0</v>
      </c>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row>
    <row r="13" spans="1:67" s="2031" customFormat="1" ht="14.25">
      <c r="A13" s="2303">
        <f>'数据-汇总表'!C26</f>
        <v>0</v>
      </c>
      <c r="B13" s="2304" t="str">
        <f t="shared" si="1"/>
        <v/>
      </c>
      <c r="C13" s="2305"/>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6"/>
      <c r="AO13" s="55" t="e">
        <f t="shared" ca="1" si="8"/>
        <v>#REF!</v>
      </c>
      <c r="AP13" s="2307">
        <f t="shared" si="9"/>
        <v>0</v>
      </c>
      <c r="AQ13" s="55">
        <f t="shared" si="10"/>
        <v>0</v>
      </c>
      <c r="AR13" s="55">
        <f t="shared" si="11"/>
        <v>0</v>
      </c>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row>
    <row r="14" spans="1:67" s="2031" customFormat="1" ht="14.25">
      <c r="A14" s="2308" t="s">
        <v>2008</v>
      </c>
      <c r="B14" s="2304" t="s">
        <v>2009</v>
      </c>
      <c r="C14" s="2309" t="s">
        <v>2008</v>
      </c>
      <c r="D14" s="1051"/>
      <c r="E14" s="1048"/>
      <c r="F14" s="72"/>
      <c r="G14" s="73"/>
      <c r="H14" s="1250"/>
      <c r="I14" s="1250"/>
      <c r="J14" s="1250"/>
      <c r="K14" s="1251">
        <f>SUMIF('数据-汇总表'!C$19:C$33,A14,'数据-汇总表'!E$19:E$33)</f>
        <v>2953.7000000000003</v>
      </c>
      <c r="L14" s="91">
        <v>1800</v>
      </c>
      <c r="M14" s="75">
        <f t="shared" si="0"/>
        <v>532</v>
      </c>
      <c r="N14" s="92">
        <f>N26</f>
        <v>0.68</v>
      </c>
      <c r="O14" s="75">
        <f t="shared" si="3"/>
        <v>362</v>
      </c>
      <c r="P14" s="76">
        <f t="shared" si="4"/>
        <v>170</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1"/>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row>
    <row r="15" spans="1:67" s="2031" customFormat="1" ht="27">
      <c r="A15" s="2308" t="s">
        <v>2010</v>
      </c>
      <c r="B15" s="2304" t="s">
        <v>2009</v>
      </c>
      <c r="C15" s="2309" t="s">
        <v>2011</v>
      </c>
      <c r="D15" s="1051"/>
      <c r="E15" s="1048"/>
      <c r="F15" s="72"/>
      <c r="G15" s="73"/>
      <c r="H15" s="1250"/>
      <c r="I15" s="1250"/>
      <c r="J15" s="1250"/>
      <c r="K15" s="1251">
        <f>SUMIF('数据-汇总表'!C$19:C$33,A15,'数据-汇总表'!E$19:E$33)</f>
        <v>676.32999999999993</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1"/>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row>
    <row r="16" spans="1:67" s="2031" customFormat="1" ht="15.75" thickBot="1">
      <c r="A16" s="2310" t="s">
        <v>2012</v>
      </c>
      <c r="B16" s="97"/>
      <c r="C16" s="1005"/>
      <c r="D16" s="2311"/>
      <c r="E16" s="97"/>
      <c r="F16" s="97"/>
      <c r="G16" s="98">
        <f>ROUND(SUMPRODUCT(G6:G13,K6:K13)/SUMPRODUCT((G6:G13&gt;0)*(K6:K13)),3)</f>
        <v>0.99099999999999999</v>
      </c>
      <c r="H16" s="99">
        <f>ROUND(SUMPRODUCT(H6:H13,K6:K13)/SUMPRODUCT((H6:H13&gt;0)*(K6:K13)),3)</f>
        <v>4.2000000000000003E-2</v>
      </c>
      <c r="I16" s="100"/>
      <c r="J16" s="100"/>
      <c r="K16" s="101">
        <f>SUM(K6:K15)</f>
        <v>117348.15999999992</v>
      </c>
      <c r="L16" s="102">
        <f>ROUND(M16*10000/SUM(K6:K14),0)</f>
        <v>2347</v>
      </c>
      <c r="M16" s="102">
        <f>SUM(M6:M14)</f>
        <v>27379</v>
      </c>
      <c r="N16" s="103">
        <f>ROUND(SUMPRODUCT(M6:M14,N6:N14)/M16,3)</f>
        <v>0.63800000000000001</v>
      </c>
      <c r="O16" s="102">
        <f>SUM(O6:O14)</f>
        <v>17474</v>
      </c>
      <c r="P16" s="102">
        <f>SUM(P6:P14)</f>
        <v>9905</v>
      </c>
      <c r="Q16" s="104">
        <f>ROUND(SUMPRODUCT(Q6:Q13,K6:K13)/SUMPRODUCT((Q6:Q13&gt;0)*(K6:K13)),2)</f>
        <v>0.15</v>
      </c>
      <c r="R16" s="1255">
        <f ca="1">SUM(R6:R13)</f>
        <v>30957.509999999995</v>
      </c>
      <c r="S16" s="105">
        <f>SUM(S6:S13)</f>
        <v>2953.7200000000003</v>
      </c>
      <c r="T16" s="106">
        <f>IF(SUMIF(T6:T13,"&lt;9E307")=M14,SUMIF(T6:T13,"&lt;9E307"),"有误，请检查")</f>
        <v>532</v>
      </c>
      <c r="U16" s="107"/>
      <c r="V16" s="108"/>
      <c r="W16" s="108"/>
      <c r="X16" s="111"/>
      <c r="Y16" s="109"/>
      <c r="Z16" s="110"/>
      <c r="AA16" s="108"/>
      <c r="AB16" s="108"/>
      <c r="AC16" s="111"/>
      <c r="AD16" s="111"/>
      <c r="AE16" s="107"/>
      <c r="AF16" s="108"/>
      <c r="AG16" s="109"/>
      <c r="AH16" s="107"/>
      <c r="AI16" s="110"/>
      <c r="AJ16" s="110"/>
      <c r="AK16" s="108"/>
      <c r="AL16" s="108"/>
      <c r="AM16" s="109"/>
      <c r="AN16" s="2271"/>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row>
    <row r="17" spans="1:67" ht="13.5" thickBot="1">
      <c r="A17" s="2312"/>
      <c r="B17" s="732"/>
      <c r="C17" s="1581"/>
      <c r="D17" s="2270"/>
      <c r="E17" s="2270"/>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2013</v>
      </c>
      <c r="B18" s="2277"/>
      <c r="C18" s="2274"/>
      <c r="D18" s="2275"/>
      <c r="E18" s="2274"/>
      <c r="F18" s="2274"/>
      <c r="G18" s="2274"/>
      <c r="H18" s="2274"/>
      <c r="I18" s="2274"/>
      <c r="J18" s="2274"/>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3" t="s">
        <v>2014</v>
      </c>
      <c r="B19" s="112">
        <v>0</v>
      </c>
      <c r="C19" s="2274" t="s">
        <v>2015</v>
      </c>
      <c r="D19" s="2275"/>
      <c r="E19" s="2274"/>
      <c r="F19" s="2274"/>
      <c r="G19" s="2274"/>
      <c r="H19" s="2274"/>
      <c r="I19" s="2274"/>
      <c r="J19" s="2274"/>
      <c r="K19" s="168"/>
      <c r="L19" s="168"/>
      <c r="M19" s="3084" t="s">
        <v>3355</v>
      </c>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4" t="s">
        <v>2016</v>
      </c>
      <c r="B20" s="113">
        <v>3</v>
      </c>
      <c r="C20" s="2274" t="s">
        <v>2017</v>
      </c>
      <c r="D20" s="2275"/>
      <c r="E20" s="2274"/>
      <c r="F20" s="2274"/>
      <c r="G20" s="2274"/>
      <c r="H20" s="2274"/>
      <c r="I20" s="2274"/>
      <c r="J20" s="2274"/>
      <c r="K20" s="168"/>
      <c r="L20" s="168"/>
      <c r="M20" s="3084" t="s">
        <v>3356</v>
      </c>
      <c r="N20" s="3085">
        <v>0.7</v>
      </c>
      <c r="O20" s="1581">
        <f>规证整理!C11+规证整理!C25</f>
        <v>48468.88</v>
      </c>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5" t="s">
        <v>2018</v>
      </c>
      <c r="B21" s="3009">
        <f>ROUND(B20*N16,1)</f>
        <v>1.9</v>
      </c>
      <c r="C21" s="2274"/>
      <c r="D21" s="2275"/>
      <c r="E21" s="2274"/>
      <c r="F21" s="2274"/>
      <c r="G21" s="2274"/>
      <c r="H21" s="2274"/>
      <c r="I21" s="2274"/>
      <c r="J21" s="2274"/>
      <c r="K21" s="168"/>
      <c r="L21" s="168"/>
      <c r="M21" s="3084" t="s">
        <v>3357</v>
      </c>
      <c r="N21" s="3085">
        <v>0.3</v>
      </c>
      <c r="O21" s="1581">
        <f>规证整理!C45</f>
        <v>44253.9</v>
      </c>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4" t="s">
        <v>2019</v>
      </c>
      <c r="B22" s="114">
        <f>B19+B20</f>
        <v>3</v>
      </c>
      <c r="C22" s="2274"/>
      <c r="D22" s="2275"/>
      <c r="E22" s="2274"/>
      <c r="F22" s="2274"/>
      <c r="G22" s="2274"/>
      <c r="H22" s="2274"/>
      <c r="I22" s="2274"/>
      <c r="J22" s="2274"/>
      <c r="K22" s="168"/>
      <c r="L22" s="168"/>
      <c r="M22" s="1581"/>
      <c r="N22" s="3085">
        <f>ROUND((N20*O20+N21*O21)/O22,2)</f>
        <v>0.51</v>
      </c>
      <c r="O22" s="1581">
        <f>O20+O21</f>
        <v>92722.78</v>
      </c>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5" t="s">
        <v>2020</v>
      </c>
      <c r="B23" s="114">
        <f>B19+B21</f>
        <v>1.9</v>
      </c>
      <c r="C23" s="2274"/>
      <c r="D23" s="2275"/>
      <c r="E23" s="2274"/>
      <c r="F23" s="2274"/>
      <c r="G23" s="2274"/>
      <c r="H23" s="2274"/>
      <c r="I23" s="2274"/>
      <c r="J23" s="2274"/>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6" t="s">
        <v>2021</v>
      </c>
      <c r="B24" s="115">
        <f>B20-B21</f>
        <v>1.1000000000000001</v>
      </c>
      <c r="C24" s="2274"/>
      <c r="D24" s="2275"/>
      <c r="E24" s="2274"/>
      <c r="F24" s="2274"/>
      <c r="G24" s="2274"/>
      <c r="H24" s="2274"/>
      <c r="I24" s="2274"/>
      <c r="J24" s="2274"/>
      <c r="K24" s="168"/>
      <c r="L24" s="168"/>
      <c r="M24" s="3084" t="s">
        <v>3364</v>
      </c>
      <c r="N24" s="3085">
        <v>0.85</v>
      </c>
      <c r="O24" s="1581">
        <f>SUM('数据-基础表'!AL13:AN34)</f>
        <v>429.12</v>
      </c>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9"/>
      <c r="B25" s="2277"/>
      <c r="C25" s="2274"/>
      <c r="D25" s="2275"/>
      <c r="E25" s="2274"/>
      <c r="F25" s="2274"/>
      <c r="G25" s="2274"/>
      <c r="H25" s="2274"/>
      <c r="I25" s="2274"/>
      <c r="J25" s="2274"/>
      <c r="K25" s="168"/>
      <c r="L25" s="168"/>
      <c r="M25" s="1581"/>
      <c r="N25" s="3085">
        <v>0.65</v>
      </c>
      <c r="O25" s="1581">
        <f>SUM('数据-基础表'!AL35:AN40)</f>
        <v>2524.5800000000004</v>
      </c>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3" t="s">
        <v>2022</v>
      </c>
      <c r="B26" s="2317" t="s">
        <v>2023</v>
      </c>
      <c r="C26" s="2318" t="s">
        <v>2024</v>
      </c>
      <c r="D26" s="2275"/>
      <c r="E26" s="2274"/>
      <c r="F26" s="2274"/>
      <c r="G26" s="2274"/>
      <c r="H26" s="2274"/>
      <c r="I26" s="2274"/>
      <c r="J26" s="2274"/>
      <c r="K26" s="168"/>
      <c r="L26" s="168"/>
      <c r="M26" s="1581"/>
      <c r="N26" s="3086">
        <f>ROUND((N24*O24+N25*O25)/O26,2)</f>
        <v>0.68</v>
      </c>
      <c r="O26" s="1581">
        <f>O24+O25</f>
        <v>2953.7000000000003</v>
      </c>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1" customFormat="1" ht="27.75">
      <c r="A27" s="2319" t="s">
        <v>2025</v>
      </c>
      <c r="B27" s="116">
        <v>150</v>
      </c>
      <c r="C27" s="1764" t="s">
        <v>2026</v>
      </c>
      <c r="D27" s="2320"/>
      <c r="E27" s="1427"/>
      <c r="F27" s="1427"/>
      <c r="G27" s="2274"/>
      <c r="H27" s="2274"/>
      <c r="I27" s="2274"/>
      <c r="J27" s="2274"/>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1" customFormat="1" ht="27.75">
      <c r="A28" s="2322" t="s">
        <v>2027</v>
      </c>
      <c r="B28" s="119">
        <v>190</v>
      </c>
      <c r="C28" s="2323"/>
      <c r="D28" s="2320"/>
      <c r="E28" s="1427"/>
      <c r="F28" s="1427"/>
      <c r="G28" s="2274"/>
      <c r="H28" s="2274"/>
      <c r="I28" s="2274"/>
      <c r="J28" s="2274"/>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1" customFormat="1" ht="28.5" thickBot="1">
      <c r="A29" s="2324" t="s">
        <v>2028</v>
      </c>
      <c r="B29" s="121">
        <v>0</v>
      </c>
      <c r="C29" s="1764" t="s">
        <v>2029</v>
      </c>
      <c r="D29" s="2320"/>
      <c r="E29" s="1427"/>
      <c r="F29" s="1427"/>
      <c r="G29" s="2274"/>
      <c r="H29" s="2274"/>
      <c r="I29" s="2274"/>
      <c r="J29" s="2274"/>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1" customFormat="1" ht="27">
      <c r="A30" s="2325" t="s">
        <v>2030</v>
      </c>
      <c r="B30" s="724">
        <v>200</v>
      </c>
      <c r="C30" s="2323"/>
      <c r="D30" s="2320"/>
      <c r="E30" s="1427"/>
      <c r="F30" s="1427"/>
      <c r="G30" s="2274"/>
      <c r="H30" s="2274"/>
      <c r="I30" s="2274"/>
      <c r="J30" s="2274"/>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1" customFormat="1" ht="27">
      <c r="A31" s="2322" t="s">
        <v>2031</v>
      </c>
      <c r="B31" s="120">
        <f>B30-B32</f>
        <v>90</v>
      </c>
      <c r="C31" s="1764"/>
      <c r="D31" s="2320"/>
      <c r="E31" s="1427"/>
      <c r="F31" s="1427"/>
      <c r="G31" s="2274"/>
      <c r="H31" s="2274"/>
      <c r="I31" s="2274"/>
      <c r="J31" s="2274"/>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1" customFormat="1" ht="27.75" thickBot="1">
      <c r="A32" s="2326" t="s">
        <v>2032</v>
      </c>
      <c r="B32" s="725">
        <v>110</v>
      </c>
      <c r="C32" s="2323"/>
      <c r="D32" s="2275"/>
      <c r="E32" s="2274"/>
      <c r="F32" s="2274"/>
      <c r="G32" s="2274"/>
      <c r="H32" s="2274"/>
      <c r="I32" s="2274"/>
      <c r="J32" s="2274"/>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1" customFormat="1" ht="14.25">
      <c r="A33" s="2319" t="s">
        <v>2033</v>
      </c>
      <c r="B33" s="726">
        <v>0.03</v>
      </c>
      <c r="C33" s="1763" t="s">
        <v>2034</v>
      </c>
      <c r="D33" s="2275"/>
      <c r="E33" s="2274"/>
      <c r="F33" s="2274"/>
      <c r="G33" s="2274"/>
      <c r="H33" s="2274"/>
      <c r="I33" s="2274"/>
      <c r="J33" s="2274"/>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1" customFormat="1" ht="14.25">
      <c r="A34" s="2322" t="s">
        <v>2035</v>
      </c>
      <c r="B34" s="3011">
        <v>0.08</v>
      </c>
      <c r="C34" s="1763" t="s">
        <v>2036</v>
      </c>
      <c r="D34" s="2275" t="s">
        <v>2037</v>
      </c>
      <c r="E34" s="732"/>
      <c r="F34" s="2274"/>
      <c r="G34" s="2274"/>
      <c r="H34" s="2274"/>
      <c r="I34" s="2274"/>
      <c r="J34" s="2274"/>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1" customFormat="1" ht="14.25">
      <c r="A35" s="2322" t="s">
        <v>2038</v>
      </c>
      <c r="B35" s="119">
        <v>200</v>
      </c>
      <c r="C35" s="1763" t="s">
        <v>2039</v>
      </c>
      <c r="D35" s="2320"/>
      <c r="E35" s="1427"/>
      <c r="F35" s="1427"/>
      <c r="G35" s="2274"/>
      <c r="H35" s="2274"/>
      <c r="I35" s="2274"/>
      <c r="J35" s="2274"/>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4" t="s">
        <v>2040</v>
      </c>
      <c r="B36" s="123">
        <v>1.4999999999999999E-2</v>
      </c>
      <c r="C36" s="1763" t="s">
        <v>2041</v>
      </c>
      <c r="D36" s="2275"/>
      <c r="E36" s="2274"/>
      <c r="F36" s="2274"/>
      <c r="G36" s="2274"/>
      <c r="H36" s="2274"/>
      <c r="I36" s="2274"/>
      <c r="J36" s="2274"/>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5" t="s">
        <v>2042</v>
      </c>
      <c r="B37" s="124">
        <v>0.02</v>
      </c>
      <c r="C37" s="1763" t="s">
        <v>2043</v>
      </c>
      <c r="D37" s="2275"/>
      <c r="E37" s="2274"/>
      <c r="F37" s="2274"/>
      <c r="G37" s="2274"/>
      <c r="H37" s="2274"/>
      <c r="I37" s="2274"/>
      <c r="J37" s="2274"/>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2" t="s">
        <v>2044</v>
      </c>
      <c r="B38" s="122">
        <v>0.02</v>
      </c>
      <c r="C38" s="1763" t="s">
        <v>2043</v>
      </c>
      <c r="D38" s="2275"/>
      <c r="E38" s="2274"/>
      <c r="F38" s="2274"/>
      <c r="G38" s="2274"/>
      <c r="H38" s="2274"/>
      <c r="I38" s="2274"/>
      <c r="J38" s="2274"/>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6" t="s">
        <v>2045</v>
      </c>
      <c r="B39" s="362">
        <f ca="1">存贷款利率!I1</f>
        <v>1.4999999999999999E-2</v>
      </c>
      <c r="C39" s="1763"/>
      <c r="D39" s="2275"/>
      <c r="E39" s="2274"/>
      <c r="F39" s="2274"/>
      <c r="G39" s="2274"/>
      <c r="H39" s="2274"/>
      <c r="I39" s="2274"/>
      <c r="J39" s="2274"/>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6" t="s">
        <v>2046</v>
      </c>
      <c r="B40" s="1300">
        <f ca="1">存贷款利率!G1</f>
        <v>4.7500000000000001E-2</v>
      </c>
      <c r="C40" s="1763" t="s">
        <v>2047</v>
      </c>
      <c r="D40" s="1581"/>
      <c r="E40" s="2275"/>
      <c r="F40" s="2274"/>
      <c r="G40" s="2274"/>
      <c r="H40" s="2274"/>
      <c r="I40" s="2274"/>
      <c r="J40" s="2274"/>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19" t="s">
        <v>2048</v>
      </c>
      <c r="B41" s="125">
        <f>B42+B43</f>
        <v>5.5000000000000007E-2</v>
      </c>
      <c r="C41" s="1764"/>
      <c r="D41" s="1581"/>
      <c r="E41" s="2275"/>
      <c r="F41" s="2274"/>
      <c r="G41" s="2274"/>
      <c r="H41" s="2274"/>
      <c r="I41" s="2274"/>
      <c r="J41" s="2274"/>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27" t="s">
        <v>2049</v>
      </c>
      <c r="B42" s="126">
        <v>0.05</v>
      </c>
      <c r="C42" s="2328">
        <f>IF(B2&lt;DATE(2016,5,1),0,B42)</f>
        <v>0.05</v>
      </c>
      <c r="D42" s="2275"/>
      <c r="E42" s="2274"/>
      <c r="F42" s="2274"/>
      <c r="G42" s="2274"/>
      <c r="H42" s="2274"/>
      <c r="I42" s="2274"/>
      <c r="J42" s="2274"/>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27" t="s">
        <v>2050</v>
      </c>
      <c r="B43" s="127">
        <f>B42*(B44+B45+B46)+B47</f>
        <v>5.000000000000001E-3</v>
      </c>
      <c r="C43" s="1764"/>
      <c r="D43" s="2275"/>
      <c r="E43" s="2274"/>
      <c r="F43" s="2274"/>
      <c r="G43" s="2274"/>
      <c r="H43" s="2274"/>
      <c r="I43" s="2274"/>
      <c r="J43" s="2274"/>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29" t="s">
        <v>2051</v>
      </c>
      <c r="B44" s="128">
        <v>0.05</v>
      </c>
      <c r="C44" s="1763" t="s">
        <v>2052</v>
      </c>
      <c r="D44" s="2275"/>
      <c r="E44" s="2274"/>
      <c r="F44" s="2274"/>
      <c r="G44" s="2274"/>
      <c r="H44" s="2274"/>
      <c r="I44" s="2274"/>
      <c r="J44" s="2274"/>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29" t="s">
        <v>2053</v>
      </c>
      <c r="B45" s="126">
        <v>0.03</v>
      </c>
      <c r="C45" s="1764" t="s">
        <v>2054</v>
      </c>
      <c r="D45" s="2275"/>
      <c r="E45" s="2274"/>
      <c r="F45" s="2274"/>
      <c r="G45" s="2274"/>
      <c r="H45" s="2274"/>
      <c r="I45" s="2274"/>
      <c r="J45" s="2274"/>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29" t="s">
        <v>2055</v>
      </c>
      <c r="B46" s="126">
        <v>0.02</v>
      </c>
      <c r="C46" s="1764" t="s">
        <v>2056</v>
      </c>
      <c r="D46" s="2275"/>
      <c r="E46" s="2274"/>
      <c r="F46" s="2274"/>
      <c r="G46" s="2274"/>
      <c r="H46" s="2274"/>
      <c r="I46" s="2274"/>
      <c r="J46" s="2274"/>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0" t="s">
        <v>2057</v>
      </c>
      <c r="B47" s="129"/>
      <c r="C47" s="1764" t="s">
        <v>2058</v>
      </c>
      <c r="D47" s="2275"/>
      <c r="E47" s="2274"/>
      <c r="F47" s="2274"/>
      <c r="G47" s="2274"/>
      <c r="H47" s="2274"/>
      <c r="I47" s="2274"/>
      <c r="J47" s="2274"/>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1" t="s">
        <v>2059</v>
      </c>
      <c r="B48" s="130">
        <v>0.03</v>
      </c>
      <c r="C48" s="1771" t="s">
        <v>2060</v>
      </c>
      <c r="D48" s="2275"/>
      <c r="E48" s="2274"/>
      <c r="F48" s="2274"/>
      <c r="G48" s="2274"/>
      <c r="H48" s="2274"/>
      <c r="I48" s="2274"/>
      <c r="J48" s="2274"/>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6" t="s">
        <v>2061</v>
      </c>
      <c r="B49" s="126">
        <v>5.0000000000000001E-4</v>
      </c>
      <c r="C49" s="1771" t="s">
        <v>2062</v>
      </c>
      <c r="D49" s="2275"/>
      <c r="E49" s="2274"/>
      <c r="F49" s="2274"/>
      <c r="G49" s="2274"/>
      <c r="H49" s="2274"/>
      <c r="I49" s="2274"/>
      <c r="J49" s="2274"/>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2" t="s">
        <v>2063</v>
      </c>
      <c r="B50" s="131">
        <v>1.2E-2</v>
      </c>
      <c r="C50" s="1427"/>
      <c r="D50" s="2275"/>
      <c r="E50" s="2274"/>
      <c r="F50" s="2274"/>
      <c r="G50" s="2274"/>
      <c r="H50" s="2274"/>
      <c r="I50" s="2274"/>
      <c r="J50" s="2274"/>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4" t="s">
        <v>2064</v>
      </c>
      <c r="B51" s="132">
        <v>0.12</v>
      </c>
      <c r="C51" s="1427"/>
      <c r="D51" s="2275"/>
      <c r="E51" s="2274"/>
      <c r="F51" s="2274"/>
      <c r="G51" s="2274"/>
      <c r="H51" s="2274"/>
      <c r="I51" s="2274"/>
      <c r="J51" s="2274"/>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2" t="s">
        <v>2065</v>
      </c>
      <c r="B52" s="133">
        <f>SUMIF(A54:A63,B53,B54:B63)</f>
        <v>1.5</v>
      </c>
      <c r="C52" s="1427"/>
      <c r="D52" s="2275"/>
      <c r="E52" s="2274"/>
      <c r="F52" s="2274"/>
      <c r="G52" s="2274"/>
      <c r="H52" s="2274"/>
      <c r="I52" s="2274"/>
      <c r="J52" s="2274"/>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2" t="s">
        <v>2066</v>
      </c>
      <c r="B53" s="2333" t="s">
        <v>56</v>
      </c>
      <c r="C53" s="1427" t="s">
        <v>2067</v>
      </c>
      <c r="D53" s="2334" t="s">
        <v>2068</v>
      </c>
      <c r="E53" s="2274"/>
      <c r="F53" s="2274"/>
      <c r="G53" s="2274"/>
      <c r="H53" s="2274"/>
      <c r="I53" s="2274"/>
      <c r="J53" s="2274"/>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5" t="s">
        <v>2069</v>
      </c>
      <c r="B54" s="84"/>
      <c r="C54" s="1427">
        <v>30</v>
      </c>
      <c r="D54" s="2275"/>
      <c r="E54" s="2274"/>
      <c r="F54" s="2274"/>
      <c r="G54" s="2274"/>
      <c r="H54" s="2274"/>
      <c r="I54" s="2274"/>
      <c r="J54" s="2274"/>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5" t="s">
        <v>2070</v>
      </c>
      <c r="B55" s="84"/>
      <c r="C55" s="1427">
        <v>24</v>
      </c>
      <c r="D55" s="2275"/>
      <c r="E55" s="2274"/>
      <c r="F55" s="2274"/>
      <c r="G55" s="2274"/>
      <c r="H55" s="2274"/>
      <c r="I55" s="2336"/>
      <c r="J55" s="2274"/>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5" t="s">
        <v>2071</v>
      </c>
      <c r="B56" s="84"/>
      <c r="C56" s="1427">
        <v>18</v>
      </c>
      <c r="D56" s="2275"/>
      <c r="E56" s="2274"/>
      <c r="F56" s="2274"/>
      <c r="G56" s="2274"/>
      <c r="H56" s="2274"/>
      <c r="I56" s="2274"/>
      <c r="J56" s="2274"/>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5" t="s">
        <v>2072</v>
      </c>
      <c r="B57" s="84"/>
      <c r="C57" s="1427">
        <v>12</v>
      </c>
      <c r="D57" s="2275"/>
      <c r="E57" s="2274"/>
      <c r="F57" s="2274"/>
      <c r="G57" s="2274"/>
      <c r="H57" s="2274"/>
      <c r="I57" s="2274"/>
      <c r="J57" s="2274"/>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5" t="s">
        <v>2073</v>
      </c>
      <c r="B58" s="84"/>
      <c r="C58" s="1427">
        <v>3</v>
      </c>
      <c r="D58" s="2275"/>
      <c r="E58" s="2274"/>
      <c r="F58" s="2274"/>
      <c r="G58" s="2274"/>
      <c r="H58" s="2274"/>
      <c r="I58" s="2274"/>
      <c r="J58" s="2274"/>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5" t="s">
        <v>2074</v>
      </c>
      <c r="B59" s="84">
        <v>1.5</v>
      </c>
      <c r="C59" s="1427">
        <v>1.5</v>
      </c>
      <c r="D59" s="2275"/>
      <c r="E59" s="2274"/>
      <c r="F59" s="2274"/>
      <c r="G59" s="2274"/>
      <c r="H59" s="2274"/>
      <c r="I59" s="2274"/>
      <c r="J59" s="2274"/>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5" t="s">
        <v>2075</v>
      </c>
      <c r="B60" s="84"/>
      <c r="C60" s="2274"/>
      <c r="D60" s="2275"/>
      <c r="E60" s="2274"/>
      <c r="F60" s="2274"/>
      <c r="G60" s="2274"/>
      <c r="H60" s="2274"/>
      <c r="I60" s="2274"/>
      <c r="J60" s="2274"/>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5" t="s">
        <v>2076</v>
      </c>
      <c r="B61" s="84"/>
      <c r="C61" s="2274"/>
      <c r="D61" s="2275"/>
      <c r="E61" s="2274"/>
      <c r="F61" s="2274"/>
      <c r="G61" s="2274"/>
      <c r="H61" s="2274"/>
      <c r="I61" s="2274"/>
      <c r="J61" s="2274"/>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5" t="s">
        <v>2077</v>
      </c>
      <c r="B62" s="84"/>
      <c r="C62" s="2274"/>
      <c r="D62" s="2275"/>
      <c r="E62" s="2274"/>
      <c r="F62" s="2274"/>
      <c r="G62" s="2274"/>
      <c r="H62" s="2274"/>
      <c r="I62" s="2274"/>
      <c r="J62" s="2274"/>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7" t="s">
        <v>2078</v>
      </c>
      <c r="B63" s="134"/>
      <c r="C63" s="2274"/>
      <c r="D63" s="2275"/>
      <c r="E63" s="2274"/>
      <c r="F63" s="2274"/>
      <c r="G63" s="2274"/>
      <c r="H63" s="2274"/>
      <c r="I63" s="2274"/>
      <c r="J63" s="2274"/>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38"/>
      <c r="D64" s="2339"/>
      <c r="K64" s="798"/>
      <c r="L64" s="798"/>
    </row>
    <row r="65" spans="1:12" s="964" customFormat="1">
      <c r="A65" s="2338"/>
      <c r="D65" s="2339"/>
      <c r="K65" s="798"/>
      <c r="L65" s="798"/>
    </row>
    <row r="66" spans="1:12" s="964" customFormat="1">
      <c r="A66" s="2338"/>
      <c r="D66" s="2339"/>
      <c r="K66" s="798"/>
      <c r="L66" s="798"/>
    </row>
    <row r="67" spans="1:12" s="964" customFormat="1">
      <c r="A67" s="2338"/>
      <c r="D67" s="2339"/>
      <c r="K67" s="798"/>
      <c r="L67" s="798"/>
    </row>
    <row r="68" spans="1:12" s="964" customFormat="1">
      <c r="A68" s="2338"/>
      <c r="D68" s="2339"/>
      <c r="K68" s="798"/>
      <c r="L68" s="798"/>
    </row>
    <row r="69" spans="1:12" s="964" customFormat="1">
      <c r="A69" s="2338"/>
      <c r="D69" s="2339"/>
      <c r="K69" s="798"/>
      <c r="L69" s="798"/>
    </row>
    <row r="70" spans="1:12" s="964" customFormat="1">
      <c r="A70" s="2338"/>
      <c r="D70" s="2339"/>
      <c r="K70" s="798"/>
      <c r="L70" s="798"/>
    </row>
    <row r="71" spans="1:12" s="964" customFormat="1">
      <c r="A71" s="2338"/>
      <c r="D71" s="2339"/>
      <c r="K71" s="798"/>
      <c r="L71" s="798"/>
    </row>
    <row r="72" spans="1:12" s="964" customFormat="1">
      <c r="A72" s="2338"/>
      <c r="D72" s="2339"/>
      <c r="K72" s="798"/>
      <c r="L72" s="798"/>
    </row>
    <row r="73" spans="1:12" s="964" customFormat="1">
      <c r="A73" s="2338"/>
      <c r="D73" s="2339"/>
      <c r="K73" s="798"/>
      <c r="L73" s="798"/>
    </row>
    <row r="74" spans="1:12" s="964" customFormat="1">
      <c r="A74" s="2338"/>
      <c r="D74" s="2339"/>
      <c r="K74" s="798"/>
      <c r="L74" s="798"/>
    </row>
    <row r="75" spans="1:12" s="964" customFormat="1">
      <c r="A75" s="2338"/>
      <c r="D75" s="2339"/>
      <c r="K75" s="798"/>
      <c r="L75" s="798"/>
    </row>
    <row r="76" spans="1:12" s="964" customFormat="1">
      <c r="A76" s="2338"/>
      <c r="D76" s="2339"/>
      <c r="K76" s="798"/>
      <c r="L76" s="798"/>
    </row>
    <row r="77" spans="1:12" s="964" customFormat="1">
      <c r="A77" s="2338"/>
      <c r="D77" s="2339"/>
      <c r="K77" s="798"/>
      <c r="L77" s="798"/>
    </row>
    <row r="78" spans="1:12" s="964" customFormat="1">
      <c r="A78" s="2338"/>
      <c r="D78" s="2339"/>
      <c r="K78" s="798"/>
      <c r="L78" s="798"/>
    </row>
    <row r="79" spans="1:12" s="964" customFormat="1">
      <c r="A79" s="2338"/>
      <c r="D79" s="2339"/>
      <c r="K79" s="798"/>
      <c r="L79" s="798"/>
    </row>
    <row r="80" spans="1:12" s="964" customFormat="1">
      <c r="A80" s="2338"/>
      <c r="D80" s="2339"/>
      <c r="K80" s="798"/>
      <c r="L80" s="798"/>
    </row>
    <row r="81" spans="1:12" s="964" customFormat="1">
      <c r="A81" s="2338"/>
      <c r="D81" s="2339"/>
      <c r="K81" s="798"/>
      <c r="L81" s="798"/>
    </row>
    <row r="82" spans="1:12" s="964" customFormat="1">
      <c r="A82" s="2338"/>
      <c r="D82" s="2339"/>
      <c r="K82" s="798"/>
      <c r="L82" s="798"/>
    </row>
    <row r="83" spans="1:12" s="964" customFormat="1">
      <c r="A83" s="2338"/>
      <c r="D83" s="2339"/>
      <c r="K83" s="798"/>
      <c r="L83" s="798"/>
    </row>
    <row r="84" spans="1:12" s="964" customFormat="1">
      <c r="A84" s="2338"/>
      <c r="D84" s="2339"/>
      <c r="K84" s="798"/>
      <c r="L84" s="798"/>
    </row>
    <row r="85" spans="1:12" s="964" customFormat="1">
      <c r="A85" s="2338"/>
      <c r="D85" s="2339"/>
      <c r="K85" s="798"/>
      <c r="L85" s="798"/>
    </row>
    <row r="86" spans="1:12" s="964" customFormat="1">
      <c r="A86" s="2338"/>
      <c r="D86" s="2339"/>
      <c r="K86" s="798"/>
      <c r="L86" s="798"/>
    </row>
    <row r="87" spans="1:12" s="964" customFormat="1">
      <c r="A87" s="2338"/>
      <c r="D87" s="2339"/>
      <c r="K87" s="798"/>
      <c r="L87" s="798"/>
    </row>
    <row r="88" spans="1:12" s="964" customFormat="1">
      <c r="A88" s="2338"/>
      <c r="D88" s="2339"/>
      <c r="K88" s="798"/>
      <c r="L88" s="798"/>
    </row>
    <row r="89" spans="1:12" s="964" customFormat="1">
      <c r="A89" s="2338"/>
      <c r="D89" s="2339"/>
      <c r="K89" s="798"/>
      <c r="L89" s="798"/>
    </row>
    <row r="90" spans="1:12" s="964" customFormat="1">
      <c r="A90" s="2338"/>
      <c r="D90" s="2339"/>
      <c r="K90" s="798"/>
      <c r="L90" s="798"/>
    </row>
    <row r="91" spans="1:12" s="964" customFormat="1">
      <c r="A91" s="2338"/>
      <c r="D91" s="2339"/>
      <c r="K91" s="798"/>
      <c r="L91" s="798"/>
    </row>
    <row r="92" spans="1:12" s="964" customFormat="1">
      <c r="A92" s="2338"/>
      <c r="D92" s="2339"/>
      <c r="K92" s="798"/>
      <c r="L92" s="798"/>
    </row>
    <row r="93" spans="1:12" s="964" customFormat="1">
      <c r="A93" s="2338"/>
      <c r="D93" s="2339"/>
      <c r="K93" s="798"/>
      <c r="L93" s="798"/>
    </row>
    <row r="94" spans="1:12" s="964" customFormat="1">
      <c r="A94" s="2338"/>
      <c r="D94" s="2339"/>
      <c r="K94" s="798"/>
      <c r="L94" s="798"/>
    </row>
    <row r="95" spans="1:12" s="964" customFormat="1">
      <c r="A95" s="2338"/>
      <c r="D95" s="2339"/>
      <c r="K95" s="798"/>
      <c r="L95" s="798"/>
    </row>
    <row r="96" spans="1:12" s="964" customFormat="1">
      <c r="A96" s="2338"/>
      <c r="D96" s="2339"/>
      <c r="K96" s="798"/>
      <c r="L96" s="798"/>
    </row>
    <row r="97" spans="1:12" s="964" customFormat="1">
      <c r="A97" s="2338"/>
      <c r="D97" s="2339"/>
      <c r="K97" s="798"/>
      <c r="L97" s="798"/>
    </row>
    <row r="98" spans="1:12" s="964" customFormat="1">
      <c r="A98" s="2338"/>
      <c r="D98" s="2339"/>
      <c r="K98" s="798"/>
      <c r="L98" s="798"/>
    </row>
    <row r="99" spans="1:12" s="964" customFormat="1">
      <c r="A99" s="2338"/>
      <c r="D99" s="2339"/>
      <c r="K99" s="798"/>
      <c r="L99" s="798"/>
    </row>
    <row r="100" spans="1:12" s="964" customFormat="1">
      <c r="A100" s="2338"/>
      <c r="D100" s="2339"/>
      <c r="K100" s="798"/>
      <c r="L100" s="798"/>
    </row>
    <row r="101" spans="1:12" s="964" customFormat="1">
      <c r="A101" s="2338"/>
      <c r="D101" s="2339"/>
      <c r="K101" s="798"/>
      <c r="L101" s="798"/>
    </row>
    <row r="102" spans="1:12" s="964" customFormat="1">
      <c r="A102" s="2338"/>
      <c r="D102" s="2339"/>
      <c r="K102" s="798"/>
      <c r="L102" s="798"/>
    </row>
    <row r="103" spans="1:12" s="964" customFormat="1">
      <c r="A103" s="2338"/>
      <c r="D103" s="2339"/>
      <c r="K103" s="798"/>
      <c r="L103" s="798"/>
    </row>
    <row r="104" spans="1:12" s="964" customFormat="1">
      <c r="A104" s="2338"/>
      <c r="D104" s="2339"/>
      <c r="K104" s="798"/>
      <c r="L104" s="798"/>
    </row>
    <row r="105" spans="1:12" s="964" customFormat="1">
      <c r="A105" s="2338"/>
      <c r="D105" s="2339"/>
      <c r="K105" s="798"/>
      <c r="L105" s="798"/>
    </row>
    <row r="106" spans="1:12" s="964" customFormat="1">
      <c r="A106" s="2338"/>
      <c r="D106" s="2339"/>
      <c r="K106" s="798"/>
      <c r="L106" s="798"/>
    </row>
    <row r="107" spans="1:12" s="964" customFormat="1">
      <c r="A107" s="2338"/>
      <c r="D107" s="2339"/>
      <c r="K107" s="798"/>
      <c r="L107" s="798"/>
    </row>
    <row r="108" spans="1:12" s="964" customFormat="1">
      <c r="A108" s="2338"/>
      <c r="D108" s="2339"/>
      <c r="K108" s="798"/>
      <c r="L108" s="798"/>
    </row>
    <row r="109" spans="1:12" s="964" customFormat="1">
      <c r="A109" s="2338"/>
      <c r="D109" s="2339"/>
      <c r="K109" s="798"/>
      <c r="L109" s="798"/>
    </row>
    <row r="110" spans="1:12" s="964" customFormat="1">
      <c r="A110" s="2338"/>
      <c r="D110" s="2339"/>
      <c r="K110" s="798"/>
      <c r="L110" s="798"/>
    </row>
    <row r="111" spans="1:12" s="964" customFormat="1">
      <c r="A111" s="2338"/>
      <c r="D111" s="2339"/>
      <c r="K111" s="798"/>
      <c r="L111" s="798"/>
    </row>
    <row r="112" spans="1:12" s="964" customFormat="1">
      <c r="A112" s="2338"/>
      <c r="D112" s="2339"/>
      <c r="K112" s="798"/>
      <c r="L112" s="798"/>
    </row>
    <row r="113" spans="1:12" s="964" customFormat="1">
      <c r="A113" s="2338"/>
      <c r="D113" s="2339"/>
      <c r="K113" s="798"/>
      <c r="L113" s="798"/>
    </row>
    <row r="114" spans="1:12" s="964" customFormat="1">
      <c r="A114" s="2338"/>
      <c r="D114" s="2339"/>
      <c r="K114" s="798"/>
      <c r="L114" s="798"/>
    </row>
    <row r="115" spans="1:12" s="964" customFormat="1">
      <c r="A115" s="2338"/>
      <c r="D115" s="2339"/>
      <c r="K115" s="798"/>
      <c r="L115" s="798"/>
    </row>
    <row r="116" spans="1:12" s="964" customFormat="1">
      <c r="A116" s="2338"/>
      <c r="D116" s="2339"/>
      <c r="K116" s="798"/>
      <c r="L116" s="798"/>
    </row>
    <row r="117" spans="1:12" s="964" customFormat="1">
      <c r="A117" s="2338"/>
      <c r="D117" s="2339"/>
      <c r="K117" s="798"/>
      <c r="L117" s="798"/>
    </row>
    <row r="118" spans="1:12" s="964" customFormat="1">
      <c r="A118" s="2338"/>
      <c r="D118" s="2339"/>
      <c r="K118" s="798"/>
      <c r="L118" s="798"/>
    </row>
    <row r="119" spans="1:12" s="964" customFormat="1">
      <c r="A119" s="2338"/>
      <c r="D119" s="2339"/>
      <c r="K119" s="798"/>
      <c r="L119" s="798"/>
    </row>
    <row r="120" spans="1:12" s="964" customFormat="1">
      <c r="A120" s="2338"/>
      <c r="D120" s="2339"/>
      <c r="K120" s="798"/>
      <c r="L120" s="798"/>
    </row>
    <row r="121" spans="1:12" s="964" customFormat="1">
      <c r="A121" s="2338"/>
      <c r="D121" s="2339"/>
      <c r="K121" s="798"/>
      <c r="L121" s="798"/>
    </row>
    <row r="122" spans="1:12" s="964" customFormat="1">
      <c r="A122" s="2338"/>
      <c r="D122" s="2339"/>
      <c r="K122" s="798"/>
      <c r="L122" s="798"/>
    </row>
    <row r="123" spans="1:12" s="964" customFormat="1">
      <c r="A123" s="2338"/>
      <c r="D123" s="2339"/>
      <c r="K123" s="798"/>
      <c r="L123" s="798"/>
    </row>
    <row r="124" spans="1:12" s="964" customFormat="1">
      <c r="A124" s="2338"/>
      <c r="D124" s="2339"/>
      <c r="K124" s="798"/>
      <c r="L124" s="798"/>
    </row>
    <row r="125" spans="1:12" s="964" customFormat="1">
      <c r="A125" s="2338"/>
      <c r="D125" s="2339"/>
      <c r="K125" s="798"/>
      <c r="L125" s="798"/>
    </row>
    <row r="126" spans="1:12" s="964" customFormat="1">
      <c r="A126" s="2338"/>
      <c r="D126" s="2339"/>
      <c r="K126" s="798"/>
      <c r="L126" s="798"/>
    </row>
    <row r="127" spans="1:12" s="964" customFormat="1">
      <c r="A127" s="2338"/>
      <c r="D127" s="2339"/>
      <c r="K127" s="798"/>
      <c r="L127" s="798"/>
    </row>
    <row r="128" spans="1:12" s="964" customFormat="1">
      <c r="A128" s="2338"/>
      <c r="D128" s="2339"/>
      <c r="K128" s="798"/>
      <c r="L128" s="798"/>
    </row>
    <row r="129" spans="1:12" s="964" customFormat="1">
      <c r="A129" s="2338"/>
      <c r="D129" s="2339"/>
      <c r="K129" s="798"/>
      <c r="L129" s="798"/>
    </row>
    <row r="130" spans="1:12" s="964" customFormat="1">
      <c r="A130" s="2338"/>
      <c r="D130" s="2339"/>
      <c r="K130" s="798"/>
      <c r="L130" s="798"/>
    </row>
    <row r="131" spans="1:12" s="964" customFormat="1">
      <c r="A131" s="2338"/>
      <c r="D131" s="2339"/>
      <c r="K131" s="798"/>
      <c r="L131" s="798"/>
    </row>
    <row r="132" spans="1:12" s="964" customFormat="1">
      <c r="A132" s="2338"/>
      <c r="D132" s="2339"/>
      <c r="K132" s="798"/>
      <c r="L132" s="798"/>
    </row>
    <row r="133" spans="1:12" s="964" customFormat="1">
      <c r="A133" s="2338"/>
      <c r="D133" s="2339"/>
      <c r="K133" s="798"/>
      <c r="L133" s="798"/>
    </row>
    <row r="134" spans="1:12" s="2271" customFormat="1">
      <c r="A134" s="2340"/>
      <c r="D134" s="2341"/>
      <c r="K134" s="27"/>
      <c r="L134" s="27"/>
    </row>
    <row r="135" spans="1:12" s="2271" customFormat="1">
      <c r="A135" s="2340"/>
      <c r="D135" s="2341"/>
      <c r="K135" s="27"/>
      <c r="L135" s="27"/>
    </row>
    <row r="136" spans="1:12" s="2271" customFormat="1">
      <c r="A136" s="2340"/>
      <c r="D136" s="2341"/>
      <c r="K136" s="27"/>
      <c r="L136" s="27"/>
    </row>
    <row r="137" spans="1:12" s="2271" customFormat="1">
      <c r="A137" s="2340"/>
      <c r="D137" s="2341"/>
      <c r="K137" s="27"/>
      <c r="L137" s="27"/>
    </row>
    <row r="138" spans="1:12" s="2271" customFormat="1">
      <c r="A138" s="2340"/>
      <c r="D138" s="2341"/>
      <c r="K138" s="27"/>
      <c r="L138" s="27"/>
    </row>
    <row r="139" spans="1:12" s="2271" customFormat="1">
      <c r="A139" s="2340"/>
      <c r="D139" s="2341"/>
      <c r="K139" s="27"/>
      <c r="L139" s="27"/>
    </row>
    <row r="140" spans="1:12" s="2271" customFormat="1">
      <c r="A140" s="2340"/>
      <c r="D140" s="2341"/>
      <c r="K140" s="27"/>
      <c r="L140" s="27"/>
    </row>
    <row r="141" spans="1:12" s="2271" customFormat="1">
      <c r="A141" s="2340"/>
      <c r="D141" s="2341"/>
      <c r="K141" s="27"/>
      <c r="L141" s="27"/>
    </row>
    <row r="142" spans="1:12" s="2271" customFormat="1">
      <c r="A142" s="2340"/>
      <c r="D142" s="2341"/>
      <c r="K142" s="27"/>
      <c r="L142" s="27"/>
    </row>
    <row r="143" spans="1:12" s="2271" customFormat="1">
      <c r="A143" s="2340"/>
      <c r="D143" s="2341"/>
      <c r="K143" s="27"/>
      <c r="L143" s="27"/>
    </row>
    <row r="144" spans="1:12" s="2271" customFormat="1">
      <c r="A144" s="2340"/>
      <c r="D144" s="2341"/>
      <c r="K144" s="27"/>
      <c r="L144" s="27"/>
    </row>
    <row r="145" spans="1:12" s="2271" customFormat="1">
      <c r="A145" s="2340"/>
      <c r="D145" s="2341"/>
      <c r="K145" s="27"/>
      <c r="L145" s="27"/>
    </row>
    <row r="146" spans="1:12" s="2271" customFormat="1">
      <c r="A146" s="2340"/>
      <c r="D146" s="2341"/>
      <c r="K146" s="27"/>
      <c r="L146" s="27"/>
    </row>
    <row r="147" spans="1:12" s="2271" customFormat="1">
      <c r="A147" s="2340"/>
      <c r="D147" s="2341"/>
      <c r="K147" s="27"/>
      <c r="L147" s="27"/>
    </row>
    <row r="148" spans="1:12" s="2271" customFormat="1">
      <c r="A148" s="2340"/>
      <c r="D148" s="2341"/>
      <c r="K148" s="27"/>
      <c r="L148" s="27"/>
    </row>
    <row r="149" spans="1:12" s="2271" customFormat="1">
      <c r="A149" s="2340"/>
      <c r="D149" s="2341"/>
      <c r="K149" s="27"/>
      <c r="L149" s="27"/>
    </row>
    <row r="150" spans="1:12" s="2271" customFormat="1">
      <c r="A150" s="2340"/>
      <c r="D150" s="2341"/>
      <c r="K150" s="27"/>
      <c r="L150" s="27"/>
    </row>
    <row r="151" spans="1:12" s="2271" customFormat="1">
      <c r="A151" s="2340"/>
      <c r="D151" s="2341"/>
      <c r="K151" s="27"/>
      <c r="L151" s="27"/>
    </row>
    <row r="152" spans="1:12" s="2271" customFormat="1">
      <c r="A152" s="2340"/>
      <c r="D152" s="2341"/>
      <c r="K152" s="27"/>
      <c r="L152" s="27"/>
    </row>
    <row r="153" spans="1:12" s="2271" customFormat="1">
      <c r="A153" s="2340"/>
      <c r="D153" s="2341"/>
      <c r="K153" s="27"/>
      <c r="L153" s="27"/>
    </row>
    <row r="154" spans="1:12" s="2271" customFormat="1">
      <c r="A154" s="2340"/>
      <c r="D154" s="2341"/>
      <c r="K154" s="27"/>
      <c r="L154" s="27"/>
    </row>
    <row r="155" spans="1:12" s="2271" customFormat="1">
      <c r="A155" s="2340"/>
      <c r="D155" s="2341"/>
      <c r="K155" s="27"/>
      <c r="L155" s="27"/>
    </row>
    <row r="156" spans="1:12" s="2271" customFormat="1">
      <c r="A156" s="2340"/>
      <c r="D156" s="2341"/>
      <c r="K156" s="27"/>
      <c r="L156" s="27"/>
    </row>
    <row r="157" spans="1:12" s="2271" customFormat="1">
      <c r="A157" s="2340"/>
      <c r="D157" s="2341"/>
      <c r="K157" s="27"/>
      <c r="L157" s="27"/>
    </row>
    <row r="158" spans="1:12" s="2271" customFormat="1">
      <c r="A158" s="2340"/>
      <c r="D158" s="2341"/>
      <c r="K158" s="27"/>
      <c r="L158" s="27"/>
    </row>
    <row r="159" spans="1:12" s="2271" customFormat="1">
      <c r="A159" s="2340"/>
      <c r="D159" s="2341"/>
      <c r="K159" s="27"/>
      <c r="L159" s="27"/>
    </row>
    <row r="160" spans="1:12" s="2271" customFormat="1">
      <c r="A160" s="2340"/>
      <c r="D160" s="2341"/>
      <c r="K160" s="27"/>
      <c r="L160" s="27"/>
    </row>
    <row r="161" spans="1:12" s="2271" customFormat="1">
      <c r="A161" s="2340"/>
      <c r="D161" s="2341"/>
      <c r="K161" s="27"/>
      <c r="L161" s="27"/>
    </row>
    <row r="162" spans="1:12" s="2271" customFormat="1">
      <c r="A162" s="2340"/>
      <c r="D162" s="2341"/>
      <c r="K162" s="27"/>
      <c r="L162" s="27"/>
    </row>
    <row r="163" spans="1:12" s="2271" customFormat="1">
      <c r="A163" s="2340"/>
      <c r="D163" s="2341"/>
      <c r="K163" s="27"/>
      <c r="L163" s="27"/>
    </row>
    <row r="164" spans="1:12" s="2271" customFormat="1">
      <c r="A164" s="2340"/>
      <c r="D164" s="2341"/>
      <c r="K164" s="27"/>
      <c r="L164" s="27"/>
    </row>
    <row r="165" spans="1:12" s="2271" customFormat="1">
      <c r="A165" s="2340"/>
      <c r="D165" s="2341"/>
      <c r="K165" s="27"/>
      <c r="L165" s="27"/>
    </row>
    <row r="166" spans="1:12" s="2271" customFormat="1">
      <c r="A166" s="2340"/>
      <c r="D166" s="2341"/>
      <c r="K166" s="27"/>
      <c r="L166" s="27"/>
    </row>
    <row r="167" spans="1:12" s="2271" customFormat="1">
      <c r="A167" s="2340"/>
      <c r="D167" s="2341"/>
      <c r="K167" s="27"/>
      <c r="L167" s="27"/>
    </row>
    <row r="168" spans="1:12" s="2271" customFormat="1">
      <c r="A168" s="2340"/>
      <c r="D168" s="2341"/>
      <c r="K168" s="27"/>
      <c r="L168" s="27"/>
    </row>
    <row r="169" spans="1:12" s="2271" customFormat="1">
      <c r="A169" s="2340"/>
      <c r="D169" s="2341"/>
      <c r="K169" s="27"/>
      <c r="L169" s="27"/>
    </row>
    <row r="170" spans="1:12" s="2271" customFormat="1">
      <c r="A170" s="2340"/>
      <c r="D170" s="2341"/>
      <c r="K170" s="27"/>
      <c r="L170" s="27"/>
    </row>
    <row r="171" spans="1:12" s="2271" customFormat="1">
      <c r="A171" s="2340"/>
      <c r="D171" s="2341"/>
      <c r="K171" s="27"/>
      <c r="L171" s="27"/>
    </row>
    <row r="172" spans="1:12" s="2271" customFormat="1">
      <c r="A172" s="2340"/>
      <c r="D172" s="2341"/>
      <c r="K172" s="27"/>
      <c r="L172" s="27"/>
    </row>
    <row r="173" spans="1:12" s="2271" customFormat="1">
      <c r="A173" s="2340"/>
      <c r="D173" s="2341"/>
      <c r="K173" s="27"/>
      <c r="L173" s="27"/>
    </row>
    <row r="174" spans="1:12" s="2271" customFormat="1">
      <c r="A174" s="2340"/>
      <c r="D174" s="2341"/>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7" sqref="C7"/>
    </sheetView>
  </sheetViews>
  <sheetFormatPr defaultRowHeight="14.25"/>
  <cols>
    <col min="1" max="1" width="9.5" style="2366" customWidth="1"/>
    <col min="2" max="2" width="24.5" style="2412" customWidth="1"/>
    <col min="3" max="3" width="24.5" style="2411" customWidth="1"/>
    <col min="4" max="4" width="2.625" style="2411" customWidth="1"/>
    <col min="5" max="5" width="5.875" style="2411" customWidth="1"/>
    <col min="6" max="6" width="27" style="2412" customWidth="1"/>
    <col min="7" max="7" width="27" style="2413" customWidth="1"/>
    <col min="8" max="8" width="11.875" style="2391" customWidth="1"/>
    <col min="9" max="9" width="16.75" style="2392" customWidth="1"/>
    <col min="10" max="10" width="2.625" style="2391" customWidth="1"/>
    <col min="11" max="11" width="11.875" style="2391" customWidth="1"/>
    <col min="12" max="12" width="16.75" style="2392" customWidth="1"/>
    <col min="13" max="13" width="2.625" style="2391" customWidth="1"/>
    <col min="14" max="14" width="11.875" style="2391" customWidth="1"/>
    <col min="15" max="15" width="16.75" style="2392" customWidth="1"/>
    <col min="16" max="16" width="2.625" style="2391" customWidth="1"/>
    <col min="17" max="17" width="11.875" style="2391" customWidth="1"/>
    <col min="18" max="18" width="16.75" style="2393" customWidth="1"/>
    <col min="19" max="29" width="9" style="2365"/>
    <col min="30" max="16384" width="9" style="2366"/>
  </cols>
  <sheetData>
    <row r="1" spans="1:29" s="2359" customFormat="1" ht="19.5" thickBot="1">
      <c r="A1" s="3215" t="s">
        <v>2079</v>
      </c>
      <c r="B1" s="3216"/>
      <c r="C1" s="3216"/>
      <c r="D1" s="3216"/>
      <c r="E1" s="3216"/>
      <c r="F1" s="3216"/>
      <c r="G1" s="3216"/>
      <c r="H1" s="2354"/>
      <c r="I1" s="2355"/>
      <c r="J1" s="2354"/>
      <c r="K1" s="2354"/>
      <c r="L1" s="2355"/>
      <c r="M1" s="2354"/>
      <c r="N1" s="2354"/>
      <c r="O1" s="2355"/>
      <c r="P1" s="2354"/>
      <c r="Q1" s="2356"/>
      <c r="R1" s="2357"/>
      <c r="S1" s="2358"/>
      <c r="T1" s="2358"/>
      <c r="U1" s="2358"/>
      <c r="V1" s="2358"/>
      <c r="W1" s="2358"/>
      <c r="X1" s="2358"/>
      <c r="Y1" s="2358"/>
      <c r="Z1" s="2358"/>
      <c r="AA1" s="2358"/>
      <c r="AB1" s="2358"/>
      <c r="AC1" s="2358"/>
    </row>
    <row r="2" spans="1:29" ht="15.75" thickBot="1">
      <c r="A2" s="2360"/>
      <c r="B2" s="2361"/>
      <c r="C2" s="2362" t="s">
        <v>2080</v>
      </c>
      <c r="D2" s="2363"/>
      <c r="E2" s="2364"/>
      <c r="F2" s="2283"/>
      <c r="G2" s="2362" t="s">
        <v>2081</v>
      </c>
      <c r="H2" s="2365"/>
      <c r="I2" s="2365"/>
      <c r="J2" s="2365"/>
      <c r="K2" s="2365"/>
      <c r="L2" s="2365"/>
      <c r="M2" s="2365"/>
      <c r="N2" s="2365"/>
      <c r="O2" s="2365"/>
      <c r="P2" s="2365"/>
      <c r="Q2" s="2365"/>
      <c r="R2" s="2365"/>
    </row>
    <row r="3" spans="1:29" ht="81">
      <c r="A3" s="415" t="s">
        <v>2082</v>
      </c>
      <c r="B3" s="1268" t="s">
        <v>2083</v>
      </c>
      <c r="C3" s="2984" t="s">
        <v>3187</v>
      </c>
      <c r="D3" s="2367"/>
      <c r="E3" s="431" t="s">
        <v>2082</v>
      </c>
      <c r="F3" s="2368" t="s">
        <v>2084</v>
      </c>
      <c r="G3" s="2369" t="s">
        <v>2085</v>
      </c>
      <c r="H3" s="2365"/>
      <c r="I3" s="2365"/>
      <c r="J3" s="2365"/>
      <c r="K3" s="2365"/>
      <c r="L3" s="2365"/>
      <c r="M3" s="2365"/>
      <c r="N3" s="2365"/>
      <c r="O3" s="2365"/>
      <c r="P3" s="2365"/>
      <c r="Q3" s="2365"/>
      <c r="R3" s="2365"/>
    </row>
    <row r="4" spans="1:29" ht="41.25">
      <c r="A4" s="431"/>
      <c r="B4" s="1795" t="s">
        <v>2086</v>
      </c>
      <c r="C4" s="2370" t="s">
        <v>2087</v>
      </c>
      <c r="D4" s="2367"/>
      <c r="E4" s="2371"/>
      <c r="F4" s="42" t="s">
        <v>2088</v>
      </c>
      <c r="G4" s="2372" t="s">
        <v>2089</v>
      </c>
      <c r="H4" s="2365"/>
      <c r="I4" s="2365"/>
      <c r="J4" s="2365"/>
      <c r="K4" s="2365"/>
      <c r="L4" s="2365"/>
      <c r="M4" s="2365"/>
      <c r="N4" s="2365"/>
      <c r="O4" s="2365"/>
      <c r="P4" s="2365"/>
      <c r="Q4" s="2365"/>
      <c r="R4" s="2365"/>
    </row>
    <row r="5" spans="1:29" ht="41.25">
      <c r="A5" s="431"/>
      <c r="B5" s="1795" t="s">
        <v>2090</v>
      </c>
      <c r="C5" s="2370" t="s">
        <v>2091</v>
      </c>
      <c r="D5" s="2367"/>
      <c r="E5" s="2371"/>
      <c r="F5" s="1795" t="s">
        <v>2092</v>
      </c>
      <c r="G5" s="2372" t="s">
        <v>2093</v>
      </c>
      <c r="H5" s="2365"/>
      <c r="I5" s="2365"/>
      <c r="J5" s="2365"/>
      <c r="K5" s="2365"/>
      <c r="L5" s="2365"/>
      <c r="M5" s="2365"/>
      <c r="N5" s="2365"/>
      <c r="O5" s="2365"/>
      <c r="P5" s="2365"/>
      <c r="Q5" s="2365"/>
      <c r="R5" s="2365"/>
    </row>
    <row r="6" spans="1:29" ht="67.5">
      <c r="A6" s="431"/>
      <c r="B6" s="1795" t="s">
        <v>2094</v>
      </c>
      <c r="C6" s="2985" t="s">
        <v>3378</v>
      </c>
      <c r="D6" s="2367"/>
      <c r="E6" s="2371"/>
      <c r="F6" s="1795" t="s">
        <v>2095</v>
      </c>
      <c r="G6" s="2372" t="s">
        <v>2096</v>
      </c>
      <c r="H6" s="2365"/>
      <c r="I6" s="2365"/>
      <c r="J6" s="2365"/>
      <c r="K6" s="2365"/>
      <c r="L6" s="2365"/>
      <c r="M6" s="2365"/>
      <c r="N6" s="2365"/>
      <c r="O6" s="2365"/>
      <c r="P6" s="2365"/>
      <c r="Q6" s="2365"/>
      <c r="R6" s="2365"/>
    </row>
    <row r="7" spans="1:29" ht="122.25" thickBot="1">
      <c r="A7" s="431"/>
      <c r="B7" s="1795" t="s">
        <v>2092</v>
      </c>
      <c r="C7" s="2985" t="s">
        <v>3384</v>
      </c>
      <c r="D7" s="2373"/>
      <c r="E7" s="2374"/>
      <c r="F7" s="2375" t="s">
        <v>2097</v>
      </c>
      <c r="G7" s="2376" t="s">
        <v>2098</v>
      </c>
      <c r="H7" s="2365"/>
      <c r="I7" s="2365"/>
      <c r="J7" s="2365"/>
      <c r="K7" s="2365"/>
      <c r="L7" s="2365"/>
      <c r="M7" s="2365"/>
      <c r="N7" s="2365"/>
      <c r="O7" s="2365"/>
      <c r="P7" s="2365"/>
      <c r="Q7" s="2365"/>
      <c r="R7" s="2365"/>
    </row>
    <row r="8" spans="1:29" ht="27">
      <c r="A8" s="431"/>
      <c r="B8" s="1795" t="s">
        <v>2095</v>
      </c>
      <c r="C8" s="2985" t="s">
        <v>3366</v>
      </c>
      <c r="D8" s="2373"/>
      <c r="E8" s="2373"/>
      <c r="F8" s="1133"/>
      <c r="G8" s="1133"/>
      <c r="H8" s="2365"/>
      <c r="I8" s="2365"/>
      <c r="J8" s="2365"/>
      <c r="K8" s="2365"/>
      <c r="L8" s="2365"/>
      <c r="M8" s="2365"/>
      <c r="N8" s="2365"/>
      <c r="O8" s="2365"/>
      <c r="P8" s="2365"/>
      <c r="Q8" s="2365"/>
      <c r="R8" s="2365"/>
    </row>
    <row r="9" spans="1:29" ht="54">
      <c r="A9" s="431"/>
      <c r="B9" s="1795" t="s">
        <v>2099</v>
      </c>
      <c r="C9" s="2986" t="s">
        <v>3382</v>
      </c>
      <c r="D9" s="2367"/>
      <c r="E9" s="2373"/>
      <c r="F9" s="1133"/>
      <c r="G9" s="1133"/>
      <c r="H9" s="2365"/>
      <c r="I9" s="2365"/>
      <c r="J9" s="2365"/>
      <c r="K9" s="2365"/>
      <c r="L9" s="2365"/>
      <c r="M9" s="2365"/>
      <c r="N9" s="2365"/>
      <c r="O9" s="2365"/>
      <c r="P9" s="2365"/>
      <c r="Q9" s="2365"/>
      <c r="R9" s="2365"/>
    </row>
    <row r="10" spans="1:29" s="117" customFormat="1" ht="15.75" thickBot="1">
      <c r="A10" s="2377"/>
      <c r="B10" s="2378" t="s">
        <v>2100</v>
      </c>
      <c r="C10" s="2987" t="s">
        <v>3374</v>
      </c>
      <c r="D10" s="2367"/>
      <c r="E10" s="2367"/>
      <c r="F10" s="1133"/>
      <c r="G10" s="1133"/>
      <c r="H10" s="2379"/>
      <c r="I10" s="2380"/>
      <c r="J10" s="2381"/>
      <c r="K10" s="2379"/>
      <c r="L10" s="2380"/>
      <c r="M10" s="2381"/>
      <c r="N10" s="2379"/>
      <c r="O10" s="2380"/>
      <c r="P10" s="2381"/>
      <c r="Q10" s="2379"/>
      <c r="R10" s="2380"/>
      <c r="S10" s="2365"/>
      <c r="T10" s="2365"/>
      <c r="U10" s="2365"/>
      <c r="V10" s="2365"/>
      <c r="W10" s="2365"/>
      <c r="X10" s="2365"/>
      <c r="Y10" s="2365"/>
      <c r="Z10" s="2365"/>
      <c r="AA10" s="2365"/>
      <c r="AB10" s="2365"/>
      <c r="AC10" s="2365"/>
    </row>
    <row r="11" spans="1:29" s="117" customFormat="1" ht="15">
      <c r="A11" s="2382"/>
      <c r="B11" s="2373"/>
      <c r="C11" s="2367"/>
      <c r="D11" s="2367"/>
      <c r="E11" s="2367"/>
      <c r="F11" s="2373"/>
      <c r="G11" s="1151"/>
      <c r="H11" s="2379"/>
      <c r="I11" s="2380"/>
      <c r="J11" s="2381"/>
      <c r="K11" s="2379"/>
      <c r="L11" s="2380"/>
      <c r="M11" s="2381"/>
      <c r="N11" s="2379"/>
      <c r="O11" s="2380"/>
      <c r="P11" s="2381"/>
      <c r="Q11" s="2379"/>
      <c r="R11" s="2380"/>
      <c r="S11" s="2365"/>
      <c r="T11" s="2365"/>
      <c r="U11" s="2365"/>
      <c r="V11" s="2365"/>
      <c r="W11" s="2365"/>
      <c r="X11" s="2365"/>
      <c r="Y11" s="2365"/>
      <c r="Z11" s="2365"/>
      <c r="AA11" s="2365"/>
      <c r="AB11" s="2365"/>
      <c r="AC11" s="2365"/>
    </row>
    <row r="12" spans="1:29" s="2359" customFormat="1" ht="18">
      <c r="A12" s="2382"/>
      <c r="B12" s="2373"/>
      <c r="C12" s="2367"/>
      <c r="D12" s="2383"/>
      <c r="E12" s="2367"/>
      <c r="F12" s="2373"/>
      <c r="G12" s="1151"/>
      <c r="H12" s="2384"/>
      <c r="I12" s="2385"/>
      <c r="J12" s="2384"/>
      <c r="K12" s="2384"/>
      <c r="L12" s="2386"/>
      <c r="M12" s="2384"/>
      <c r="N12" s="2387"/>
      <c r="O12" s="2388"/>
      <c r="P12" s="2387"/>
      <c r="Q12" s="2387"/>
      <c r="R12" s="2357"/>
      <c r="S12" s="2358"/>
      <c r="T12" s="2358"/>
      <c r="U12" s="2358"/>
      <c r="V12" s="2358"/>
      <c r="W12" s="2358"/>
      <c r="X12" s="2358"/>
      <c r="Y12" s="2358"/>
      <c r="Z12" s="2358"/>
      <c r="AA12" s="2358"/>
      <c r="AB12" s="2358"/>
      <c r="AC12" s="2358"/>
    </row>
    <row r="13" spans="1:29" ht="19.5" thickBot="1">
      <c r="A13" s="2389" t="s">
        <v>2101</v>
      </c>
      <c r="B13" s="2383"/>
      <c r="C13" s="2383"/>
      <c r="D13" s="2390"/>
      <c r="E13" s="2383"/>
      <c r="F13" s="2383"/>
      <c r="G13" s="2383"/>
    </row>
    <row r="14" spans="1:29" ht="15.75" thickBot="1">
      <c r="A14" s="2394"/>
      <c r="B14" s="2395"/>
      <c r="C14" s="2396" t="s">
        <v>2102</v>
      </c>
      <c r="D14" s="2367"/>
      <c r="E14" s="2397"/>
      <c r="F14" s="2397"/>
      <c r="G14" s="2362" t="s">
        <v>2103</v>
      </c>
    </row>
    <row r="15" spans="1:29" ht="85.5">
      <c r="A15" s="68" t="s">
        <v>2104</v>
      </c>
      <c r="B15" s="1267" t="s">
        <v>2083</v>
      </c>
      <c r="C15" s="2398" t="str">
        <f>C3</f>
        <v>估价对象周边居住用地比例大、居住小区规模大且社区发展完善程度较好，如北京晨浩花园、海德堡小区、柏林在线等住宅小区，综合评价居住社区成熟度好。</v>
      </c>
      <c r="D15" s="2367"/>
      <c r="E15" s="2399" t="s">
        <v>2105</v>
      </c>
      <c r="F15" s="1267" t="s">
        <v>2106</v>
      </c>
      <c r="G15" s="135" t="str">
        <f>G3</f>
        <v>估价对象位于XX开发区，园区建设成熟度XX，产业集聚程度XX</v>
      </c>
    </row>
    <row r="16" spans="1:29" ht="42.75">
      <c r="A16" s="645"/>
      <c r="B16" s="2400" t="s">
        <v>2086</v>
      </c>
      <c r="C16" s="2401" t="str">
        <f>C4</f>
        <v>估价对象位于XX商圈，周边商业氛围成熟，人流量大，商业繁华度好</v>
      </c>
      <c r="D16" s="2367"/>
      <c r="E16" s="2402"/>
      <c r="F16" s="2403" t="s">
        <v>2088</v>
      </c>
      <c r="G16" s="136" t="str">
        <f>G4</f>
        <v>估价对象周边道路状况、公共交通通达情况、停车便捷程度，综合评价交通便捷度较好</v>
      </c>
    </row>
    <row r="17" spans="1:18" ht="42.75">
      <c r="A17" s="645"/>
      <c r="B17" s="2400" t="s">
        <v>2090</v>
      </c>
      <c r="C17" s="2401" t="str">
        <f>C5</f>
        <v>估价对象位于XX商圈，周边办公楼项目较多，入驻率高，办公集聚程度较好</v>
      </c>
      <c r="D17" s="2373"/>
      <c r="E17" s="2402"/>
      <c r="F17" s="2403" t="s">
        <v>2107</v>
      </c>
      <c r="G17" s="1569"/>
    </row>
    <row r="18" spans="1:18" ht="71.25">
      <c r="A18" s="645"/>
      <c r="B18" s="2403" t="s">
        <v>2094</v>
      </c>
      <c r="C18" s="136" t="str">
        <f>C6</f>
        <v>估价对象多面临街，周边道路路网较为密集，公共交通通达情况较好，有417、533路等、停车便捷程度较好，综合评价交通便捷度较好。</v>
      </c>
      <c r="D18" s="2373"/>
      <c r="E18" s="2402"/>
      <c r="F18" s="2403" t="s">
        <v>2097</v>
      </c>
      <c r="G18" s="136" t="str">
        <f>G7</f>
        <v>该园区内是否有污染型企业，绿化情况，卫生条件，整体环境状况判断</v>
      </c>
    </row>
    <row r="19" spans="1:18" ht="28.5">
      <c r="A19" s="645"/>
      <c r="B19" s="2403" t="s">
        <v>2108</v>
      </c>
      <c r="C19" s="2988" t="s">
        <v>3380</v>
      </c>
      <c r="D19" s="2367"/>
      <c r="E19" s="2402"/>
      <c r="F19" s="1795" t="s">
        <v>2092</v>
      </c>
      <c r="G19" s="136" t="str">
        <f>G5</f>
        <v>估价对象所在区域公共配套设施齐备情况</v>
      </c>
    </row>
    <row r="20" spans="1:18" ht="57">
      <c r="A20" s="645"/>
      <c r="B20" s="2403" t="s">
        <v>2109</v>
      </c>
      <c r="C20" s="2401" t="str">
        <f>C9</f>
        <v>区域自然环境：未来科技城滨河公园；人文环境：无展览馆、博物馆等；综合评价环境状况一般。</v>
      </c>
      <c r="D20" s="2373"/>
      <c r="E20" s="2402"/>
      <c r="F20" s="1795" t="s">
        <v>2110</v>
      </c>
      <c r="G20" s="136" t="str">
        <f>G6</f>
        <v>估价对象所在区域基础设施水平</v>
      </c>
    </row>
    <row r="21" spans="1:18" ht="128.25">
      <c r="A21" s="645"/>
      <c r="B21" s="1795" t="s">
        <v>2092</v>
      </c>
      <c r="C21" s="136" t="str">
        <f>C7</f>
        <v>估价对象所在区域2公里范围内有：银行（中国银行、北京农村商业银行），购物（物联隆超市、超市发超市）、医院（北七家社区卫生服务中心），学校（北京市晨星学校、伊顿双语幼儿园），餐饮等，公共配套设施齐备情况较好。</v>
      </c>
      <c r="D21" s="2367"/>
      <c r="E21" s="2402"/>
      <c r="F21" s="2403" t="s">
        <v>2111</v>
      </c>
      <c r="G21" s="2404"/>
    </row>
    <row r="22" spans="1:18" ht="13.5" customHeight="1">
      <c r="A22" s="645"/>
      <c r="B22" s="1795" t="s">
        <v>2095</v>
      </c>
      <c r="C22" s="136" t="str">
        <f>C8</f>
        <v>估价对象所在区域基础设施水平达到“七通”。</v>
      </c>
      <c r="D22" s="2367"/>
      <c r="E22" s="2402"/>
      <c r="F22" s="2403" t="s">
        <v>2100</v>
      </c>
      <c r="G22" s="1569"/>
    </row>
    <row r="23" spans="1:18" s="2365" customFormat="1" ht="15.75" thickBot="1">
      <c r="A23" s="645"/>
      <c r="B23" s="2403" t="s">
        <v>2111</v>
      </c>
      <c r="C23" s="2404" t="s">
        <v>3188</v>
      </c>
      <c r="D23" s="2391"/>
      <c r="E23" s="2405"/>
      <c r="F23" s="2406" t="s">
        <v>2112</v>
      </c>
      <c r="G23" s="2407"/>
      <c r="H23" s="2391"/>
      <c r="I23" s="2392"/>
      <c r="J23" s="2391"/>
      <c r="K23" s="2391"/>
      <c r="L23" s="2392"/>
      <c r="M23" s="2391"/>
      <c r="N23" s="2391"/>
      <c r="O23" s="2392"/>
      <c r="P23" s="2391"/>
      <c r="Q23" s="2391"/>
      <c r="R23" s="2393"/>
    </row>
    <row r="24" spans="1:18" s="2365" customFormat="1" ht="15.75" thickBot="1">
      <c r="A24" s="2408"/>
      <c r="B24" s="2406" t="s">
        <v>2113</v>
      </c>
      <c r="C24" s="137" t="str">
        <f>C10</f>
        <v>城市支路——沟自头街</v>
      </c>
      <c r="D24" s="2391"/>
      <c r="E24" s="2409"/>
      <c r="F24" s="2409"/>
      <c r="G24" s="2410"/>
      <c r="H24" s="2391"/>
      <c r="I24" s="2392"/>
      <c r="J24" s="2391"/>
      <c r="K24" s="2391"/>
      <c r="L24" s="2392"/>
      <c r="M24" s="2391"/>
      <c r="N24" s="2391"/>
      <c r="O24" s="2392"/>
      <c r="P24" s="2391"/>
      <c r="Q24" s="2391"/>
      <c r="R24" s="2393"/>
    </row>
    <row r="25" spans="1:18" s="2365" customFormat="1">
      <c r="B25" s="2391"/>
      <c r="C25" s="2391"/>
      <c r="D25" s="2391"/>
      <c r="H25" s="2391"/>
      <c r="I25" s="2392"/>
      <c r="J25" s="2391"/>
      <c r="K25" s="2391"/>
      <c r="L25" s="2392"/>
      <c r="M25" s="2391"/>
      <c r="N25" s="2391"/>
      <c r="O25" s="2392"/>
      <c r="P25" s="2391"/>
      <c r="Q25" s="2391"/>
      <c r="R25" s="2393"/>
    </row>
    <row r="26" spans="1:18" s="2365" customFormat="1">
      <c r="B26" s="2391"/>
      <c r="C26" s="2391"/>
      <c r="D26" s="2391"/>
      <c r="H26" s="2391"/>
      <c r="I26" s="2392"/>
      <c r="J26" s="2391"/>
      <c r="K26" s="2391"/>
      <c r="L26" s="2392"/>
      <c r="M26" s="2391"/>
      <c r="N26" s="2391"/>
      <c r="O26" s="2392"/>
      <c r="P26" s="2391"/>
      <c r="Q26" s="2391"/>
      <c r="R26" s="2393"/>
    </row>
    <row r="27" spans="1:18" s="2365" customFormat="1">
      <c r="B27" s="2391"/>
      <c r="C27" s="2391"/>
      <c r="D27" s="2391"/>
      <c r="H27" s="2391"/>
      <c r="I27" s="2392"/>
      <c r="J27" s="2391"/>
      <c r="K27" s="2391"/>
      <c r="L27" s="2392"/>
      <c r="M27" s="2391"/>
      <c r="N27" s="2391"/>
      <c r="O27" s="2392"/>
      <c r="P27" s="2391"/>
      <c r="Q27" s="2391"/>
      <c r="R27" s="2393"/>
    </row>
    <row r="28" spans="1:18" s="2365" customFormat="1">
      <c r="B28" s="2391"/>
      <c r="C28" s="2391"/>
      <c r="D28" s="2391"/>
      <c r="H28" s="2391"/>
      <c r="I28" s="2392"/>
      <c r="J28" s="2391"/>
      <c r="K28" s="2391"/>
      <c r="L28" s="2392"/>
      <c r="M28" s="2391"/>
      <c r="N28" s="2391"/>
      <c r="O28" s="2392"/>
      <c r="P28" s="2391"/>
      <c r="Q28" s="2391"/>
      <c r="R28" s="2393"/>
    </row>
    <row r="29" spans="1:18" s="2365" customFormat="1">
      <c r="B29" s="2391"/>
      <c r="C29" s="2391"/>
      <c r="D29" s="2391"/>
      <c r="H29" s="2391"/>
      <c r="I29" s="2392"/>
      <c r="J29" s="2391"/>
      <c r="K29" s="2391"/>
      <c r="L29" s="2392"/>
      <c r="M29" s="2391"/>
      <c r="N29" s="2391"/>
      <c r="O29" s="2392"/>
      <c r="P29" s="2391"/>
      <c r="Q29" s="2391"/>
      <c r="R29" s="2393"/>
    </row>
    <row r="30" spans="1:18" s="2365" customFormat="1">
      <c r="B30" s="2391"/>
      <c r="C30" s="2391"/>
      <c r="D30" s="2391"/>
      <c r="H30" s="2391"/>
      <c r="I30" s="2392"/>
      <c r="J30" s="2391"/>
      <c r="K30" s="2391"/>
      <c r="L30" s="2392"/>
      <c r="M30" s="2391"/>
      <c r="N30" s="2391"/>
      <c r="O30" s="2392"/>
      <c r="P30" s="2391"/>
      <c r="Q30" s="2391"/>
      <c r="R30" s="2393"/>
    </row>
    <row r="31" spans="1:18" s="2365" customFormat="1">
      <c r="B31" s="2391"/>
      <c r="C31" s="2391"/>
      <c r="D31" s="2391"/>
      <c r="H31" s="2391"/>
      <c r="I31" s="2392"/>
      <c r="J31" s="2391"/>
      <c r="K31" s="2391"/>
      <c r="L31" s="2392"/>
      <c r="M31" s="2391"/>
      <c r="N31" s="2391"/>
      <c r="O31" s="2392"/>
      <c r="P31" s="2391"/>
      <c r="Q31" s="2391"/>
      <c r="R31" s="2393"/>
    </row>
    <row r="32" spans="1:18" s="2365" customFormat="1">
      <c r="B32" s="2391"/>
      <c r="C32" s="2391"/>
      <c r="D32" s="2391"/>
      <c r="H32" s="2391"/>
      <c r="I32" s="2392"/>
      <c r="J32" s="2391"/>
      <c r="K32" s="2391"/>
      <c r="L32" s="2392"/>
      <c r="M32" s="2391"/>
      <c r="N32" s="2391"/>
      <c r="O32" s="2392"/>
      <c r="P32" s="2391"/>
      <c r="Q32" s="2391"/>
      <c r="R32" s="2393"/>
    </row>
    <row r="33" spans="2:18" s="2365" customFormat="1">
      <c r="B33" s="2391"/>
      <c r="C33" s="2391"/>
      <c r="D33" s="2391"/>
      <c r="H33" s="2391"/>
      <c r="I33" s="2392"/>
      <c r="J33" s="2391"/>
      <c r="K33" s="2391"/>
      <c r="L33" s="2392"/>
      <c r="M33" s="2391"/>
      <c r="N33" s="2391"/>
      <c r="O33" s="2392"/>
      <c r="P33" s="2391"/>
      <c r="Q33" s="2391"/>
      <c r="R33" s="2393"/>
    </row>
    <row r="34" spans="2:18" s="2365" customFormat="1">
      <c r="B34" s="2391"/>
      <c r="C34" s="2391"/>
      <c r="D34" s="2391"/>
      <c r="H34" s="2391"/>
      <c r="I34" s="2392"/>
      <c r="J34" s="2391"/>
      <c r="K34" s="2391"/>
      <c r="L34" s="2392"/>
      <c r="M34" s="2391"/>
      <c r="N34" s="2391"/>
      <c r="O34" s="2392"/>
      <c r="P34" s="2391"/>
      <c r="Q34" s="2391"/>
      <c r="R34" s="2393"/>
    </row>
    <row r="35" spans="2:18" s="2365" customFormat="1">
      <c r="B35" s="2391"/>
      <c r="C35" s="2391"/>
      <c r="D35" s="2391"/>
      <c r="H35" s="2391"/>
      <c r="I35" s="2392"/>
      <c r="J35" s="2391"/>
      <c r="K35" s="2391"/>
      <c r="L35" s="2392"/>
      <c r="M35" s="2391"/>
      <c r="N35" s="2391"/>
      <c r="O35" s="2392"/>
      <c r="P35" s="2391"/>
      <c r="Q35" s="2391"/>
      <c r="R35" s="2393"/>
    </row>
    <row r="36" spans="2:18" s="2365" customFormat="1">
      <c r="B36" s="2391"/>
      <c r="C36" s="2391"/>
      <c r="D36" s="2391"/>
      <c r="H36" s="2391"/>
      <c r="I36" s="2392"/>
      <c r="J36" s="2391"/>
      <c r="K36" s="2391"/>
      <c r="L36" s="2392"/>
      <c r="M36" s="2391"/>
      <c r="N36" s="2391"/>
      <c r="O36" s="2392"/>
      <c r="P36" s="2391"/>
      <c r="Q36" s="2391"/>
      <c r="R36" s="2393"/>
    </row>
    <row r="37" spans="2:18" s="2365" customFormat="1">
      <c r="B37" s="2391"/>
      <c r="C37" s="2391"/>
      <c r="D37" s="2391"/>
      <c r="H37" s="2391"/>
      <c r="I37" s="2392"/>
      <c r="J37" s="2391"/>
      <c r="K37" s="2391"/>
      <c r="L37" s="2392"/>
      <c r="M37" s="2391"/>
      <c r="N37" s="2391"/>
      <c r="O37" s="2392"/>
      <c r="P37" s="2391"/>
      <c r="Q37" s="2391"/>
      <c r="R37" s="2393"/>
    </row>
    <row r="38" spans="2:18" s="2365" customFormat="1">
      <c r="B38" s="2391"/>
      <c r="C38" s="2391"/>
      <c r="D38" s="2391"/>
      <c r="E38" s="2391"/>
      <c r="F38" s="2391"/>
      <c r="G38" s="2392"/>
      <c r="H38" s="2391"/>
      <c r="I38" s="2392"/>
      <c r="J38" s="2391"/>
      <c r="K38" s="2391"/>
      <c r="L38" s="2392"/>
      <c r="M38" s="2391"/>
      <c r="N38" s="2391"/>
      <c r="O38" s="2392"/>
      <c r="P38" s="2391"/>
      <c r="Q38" s="2391"/>
      <c r="R38" s="2393"/>
    </row>
    <row r="39" spans="2:18" s="2365" customFormat="1">
      <c r="B39" s="2391"/>
      <c r="C39" s="2391"/>
      <c r="D39" s="2391"/>
      <c r="E39" s="2391"/>
      <c r="F39" s="2391"/>
      <c r="G39" s="2392"/>
      <c r="H39" s="2391"/>
      <c r="I39" s="2392"/>
      <c r="J39" s="2391"/>
      <c r="K39" s="2391"/>
      <c r="L39" s="2392"/>
      <c r="M39" s="2391"/>
      <c r="N39" s="2391"/>
      <c r="O39" s="2392"/>
      <c r="P39" s="2391"/>
      <c r="Q39" s="2391"/>
      <c r="R39" s="2393"/>
    </row>
    <row r="40" spans="2:18" s="2365" customFormat="1">
      <c r="B40" s="2391"/>
      <c r="C40" s="2391"/>
      <c r="D40" s="2391"/>
      <c r="E40" s="2391"/>
      <c r="F40" s="2391"/>
      <c r="G40" s="2392"/>
      <c r="H40" s="2391"/>
      <c r="I40" s="2392"/>
      <c r="J40" s="2391"/>
      <c r="K40" s="2391"/>
      <c r="L40" s="2392"/>
      <c r="M40" s="2391"/>
      <c r="N40" s="2391"/>
      <c r="O40" s="2392"/>
      <c r="P40" s="2391"/>
      <c r="Q40" s="2391"/>
      <c r="R40" s="2393"/>
    </row>
    <row r="41" spans="2:18" s="2365" customFormat="1">
      <c r="B41" s="2391"/>
      <c r="C41" s="2391"/>
      <c r="D41" s="2391"/>
      <c r="E41" s="2391"/>
      <c r="F41" s="2391"/>
      <c r="G41" s="2392"/>
      <c r="H41" s="2391"/>
      <c r="I41" s="2392"/>
      <c r="J41" s="2391"/>
      <c r="K41" s="2391"/>
      <c r="L41" s="2392"/>
      <c r="M41" s="2391"/>
      <c r="N41" s="2391"/>
      <c r="O41" s="2392"/>
      <c r="P41" s="2391"/>
      <c r="Q41" s="2391"/>
      <c r="R41" s="2393"/>
    </row>
    <row r="42" spans="2:18" s="2365" customFormat="1">
      <c r="B42" s="2391"/>
      <c r="C42" s="2391"/>
      <c r="D42" s="2391"/>
      <c r="E42" s="2391"/>
      <c r="F42" s="2391"/>
      <c r="G42" s="2392"/>
      <c r="H42" s="2391"/>
      <c r="I42" s="2392"/>
      <c r="J42" s="2391"/>
      <c r="K42" s="2391"/>
      <c r="L42" s="2392"/>
      <c r="M42" s="2391"/>
      <c r="N42" s="2391"/>
      <c r="O42" s="2392"/>
      <c r="P42" s="2391"/>
      <c r="Q42" s="2391"/>
      <c r="R42" s="2393"/>
    </row>
    <row r="43" spans="2:18" s="2365" customFormat="1">
      <c r="B43" s="2391"/>
      <c r="C43" s="2391"/>
      <c r="D43" s="2391"/>
      <c r="E43" s="2391"/>
      <c r="F43" s="2391"/>
      <c r="G43" s="2392"/>
      <c r="H43" s="2391"/>
      <c r="I43" s="2392"/>
      <c r="J43" s="2391"/>
      <c r="K43" s="2391"/>
      <c r="L43" s="2392"/>
      <c r="M43" s="2391"/>
      <c r="N43" s="2391"/>
      <c r="O43" s="2392"/>
      <c r="P43" s="2391"/>
      <c r="Q43" s="2391"/>
      <c r="R43" s="2393"/>
    </row>
    <row r="44" spans="2:18" s="2365" customFormat="1">
      <c r="B44" s="2391"/>
      <c r="C44" s="2391"/>
      <c r="D44" s="2391"/>
      <c r="E44" s="2391"/>
      <c r="F44" s="2391"/>
      <c r="G44" s="2392"/>
      <c r="H44" s="2391"/>
      <c r="I44" s="2392"/>
      <c r="J44" s="2391"/>
      <c r="K44" s="2391"/>
      <c r="L44" s="2392"/>
      <c r="M44" s="2391"/>
      <c r="N44" s="2391"/>
      <c r="O44" s="2392"/>
      <c r="P44" s="2391"/>
      <c r="Q44" s="2391"/>
      <c r="R44" s="2393"/>
    </row>
    <row r="45" spans="2:18" s="2365" customFormat="1">
      <c r="B45" s="2391"/>
      <c r="C45" s="2391"/>
      <c r="D45" s="2391"/>
      <c r="E45" s="2391"/>
      <c r="F45" s="2391"/>
      <c r="G45" s="2392"/>
      <c r="H45" s="2391"/>
      <c r="I45" s="2392"/>
      <c r="J45" s="2391"/>
      <c r="K45" s="2391"/>
      <c r="L45" s="2392"/>
      <c r="M45" s="2391"/>
      <c r="N45" s="2391"/>
      <c r="O45" s="2392"/>
      <c r="P45" s="2391"/>
      <c r="Q45" s="2391"/>
      <c r="R45" s="2393"/>
    </row>
    <row r="46" spans="2:18" s="2365" customFormat="1">
      <c r="B46" s="2391"/>
      <c r="C46" s="2391"/>
      <c r="D46" s="2391"/>
      <c r="E46" s="2391"/>
      <c r="F46" s="2391"/>
      <c r="G46" s="2392"/>
      <c r="H46" s="2391"/>
      <c r="I46" s="2392"/>
      <c r="J46" s="2391"/>
      <c r="K46" s="2391"/>
      <c r="L46" s="2392"/>
      <c r="M46" s="2391"/>
      <c r="N46" s="2391"/>
      <c r="O46" s="2392"/>
      <c r="P46" s="2391"/>
      <c r="Q46" s="2391"/>
      <c r="R46" s="2393"/>
    </row>
    <row r="47" spans="2:18" s="2365" customFormat="1">
      <c r="B47" s="2391"/>
      <c r="C47" s="2391"/>
      <c r="D47" s="2391"/>
      <c r="E47" s="2391"/>
      <c r="F47" s="2391"/>
      <c r="G47" s="2392"/>
      <c r="H47" s="2391"/>
      <c r="I47" s="2392"/>
      <c r="J47" s="2391"/>
      <c r="K47" s="2391"/>
      <c r="L47" s="2392"/>
      <c r="M47" s="2391"/>
      <c r="N47" s="2391"/>
      <c r="O47" s="2392"/>
      <c r="P47" s="2391"/>
      <c r="Q47" s="2391"/>
      <c r="R47" s="2393"/>
    </row>
    <row r="48" spans="2:18" s="2365" customFormat="1">
      <c r="B48" s="2391"/>
      <c r="C48" s="2391"/>
      <c r="D48" s="2391"/>
      <c r="E48" s="2391"/>
      <c r="F48" s="2391"/>
      <c r="G48" s="2392"/>
      <c r="H48" s="2391"/>
      <c r="I48" s="2392"/>
      <c r="J48" s="2391"/>
      <c r="K48" s="2391"/>
      <c r="L48" s="2392"/>
      <c r="M48" s="2391"/>
      <c r="N48" s="2391"/>
      <c r="O48" s="2392"/>
      <c r="P48" s="2391"/>
      <c r="Q48" s="2391"/>
      <c r="R48" s="2393"/>
    </row>
    <row r="49" spans="2:18" s="2365" customFormat="1">
      <c r="B49" s="2391"/>
      <c r="C49" s="2391"/>
      <c r="D49" s="2391"/>
      <c r="E49" s="2391"/>
      <c r="F49" s="2391"/>
      <c r="G49" s="2392"/>
      <c r="H49" s="2391"/>
      <c r="I49" s="2392"/>
      <c r="J49" s="2391"/>
      <c r="K49" s="2391"/>
      <c r="L49" s="2392"/>
      <c r="M49" s="2391"/>
      <c r="N49" s="2391"/>
      <c r="O49" s="2392"/>
      <c r="P49" s="2391"/>
      <c r="Q49" s="2391"/>
      <c r="R49" s="2393"/>
    </row>
    <row r="50" spans="2:18" s="2365" customFormat="1">
      <c r="B50" s="2391"/>
      <c r="C50" s="2391"/>
      <c r="D50" s="2391"/>
      <c r="E50" s="2391"/>
      <c r="F50" s="2391"/>
      <c r="G50" s="2392"/>
      <c r="H50" s="2391"/>
      <c r="I50" s="2392"/>
      <c r="J50" s="2391"/>
      <c r="K50" s="2391"/>
      <c r="L50" s="2392"/>
      <c r="M50" s="2391"/>
      <c r="N50" s="2391"/>
      <c r="O50" s="2392"/>
      <c r="P50" s="2391"/>
      <c r="Q50" s="2391"/>
      <c r="R50" s="2393"/>
    </row>
    <row r="51" spans="2:18" s="2365" customFormat="1">
      <c r="B51" s="2391"/>
      <c r="C51" s="2391"/>
      <c r="D51" s="2391"/>
      <c r="E51" s="2391"/>
      <c r="F51" s="2391"/>
      <c r="G51" s="2392"/>
      <c r="H51" s="2391"/>
      <c r="I51" s="2392"/>
      <c r="J51" s="2391"/>
      <c r="K51" s="2391"/>
      <c r="L51" s="2392"/>
      <c r="M51" s="2391"/>
      <c r="N51" s="2391"/>
      <c r="O51" s="2392"/>
      <c r="P51" s="2391"/>
      <c r="Q51" s="2391"/>
      <c r="R51" s="2393"/>
    </row>
    <row r="52" spans="2:18" s="2365" customFormat="1">
      <c r="B52" s="2391"/>
      <c r="C52" s="2391"/>
      <c r="D52" s="2391"/>
      <c r="E52" s="2391"/>
      <c r="F52" s="2391"/>
      <c r="G52" s="2392"/>
      <c r="H52" s="2391"/>
      <c r="I52" s="2392"/>
      <c r="J52" s="2391"/>
      <c r="K52" s="2391"/>
      <c r="L52" s="2392"/>
      <c r="M52" s="2391"/>
      <c r="N52" s="2391"/>
      <c r="O52" s="2392"/>
      <c r="P52" s="2391"/>
      <c r="Q52" s="2391"/>
      <c r="R52" s="2393"/>
    </row>
    <row r="53" spans="2:18" s="2365" customFormat="1">
      <c r="B53" s="2391"/>
      <c r="C53" s="2391"/>
      <c r="D53" s="2391"/>
      <c r="E53" s="2391"/>
      <c r="F53" s="2391"/>
      <c r="G53" s="2392"/>
      <c r="H53" s="2391"/>
      <c r="I53" s="2392"/>
      <c r="J53" s="2391"/>
      <c r="K53" s="2391"/>
      <c r="L53" s="2392"/>
      <c r="M53" s="2391"/>
      <c r="N53" s="2391"/>
      <c r="O53" s="2392"/>
      <c r="P53" s="2391"/>
      <c r="Q53" s="2391"/>
      <c r="R53" s="2393"/>
    </row>
    <row r="54" spans="2:18" s="2365" customFormat="1">
      <c r="B54" s="2391"/>
      <c r="C54" s="2391"/>
      <c r="D54" s="2391"/>
      <c r="E54" s="2391"/>
      <c r="F54" s="2391"/>
      <c r="G54" s="2392"/>
      <c r="H54" s="2391"/>
      <c r="I54" s="2392"/>
      <c r="J54" s="2391"/>
      <c r="K54" s="2391"/>
      <c r="L54" s="2392"/>
      <c r="M54" s="2391"/>
      <c r="N54" s="2391"/>
      <c r="O54" s="2392"/>
      <c r="P54" s="2391"/>
      <c r="Q54" s="2391"/>
      <c r="R54" s="2393"/>
    </row>
    <row r="55" spans="2:18" s="2365" customFormat="1">
      <c r="B55" s="2391"/>
      <c r="C55" s="2391"/>
      <c r="D55" s="2391"/>
      <c r="E55" s="2391"/>
      <c r="F55" s="2391"/>
      <c r="G55" s="2392"/>
      <c r="H55" s="2391"/>
      <c r="I55" s="2392"/>
      <c r="J55" s="2391"/>
      <c r="K55" s="2391"/>
      <c r="L55" s="2392"/>
      <c r="M55" s="2391"/>
      <c r="N55" s="2391"/>
      <c r="O55" s="2392"/>
      <c r="P55" s="2391"/>
      <c r="Q55" s="2391"/>
      <c r="R55" s="2393"/>
    </row>
    <row r="56" spans="2:18" s="2365" customFormat="1">
      <c r="B56" s="2391"/>
      <c r="C56" s="2391"/>
      <c r="D56" s="2391"/>
      <c r="E56" s="2391"/>
      <c r="F56" s="2391"/>
      <c r="G56" s="2392"/>
      <c r="H56" s="2391"/>
      <c r="I56" s="2392"/>
      <c r="J56" s="2391"/>
      <c r="K56" s="2391"/>
      <c r="L56" s="2392"/>
      <c r="M56" s="2391"/>
      <c r="N56" s="2391"/>
      <c r="O56" s="2392"/>
      <c r="P56" s="2391"/>
      <c r="Q56" s="2391"/>
      <c r="R56" s="2393"/>
    </row>
    <row r="57" spans="2:18" s="2365" customFormat="1">
      <c r="B57" s="2391"/>
      <c r="C57" s="2391"/>
      <c r="D57" s="2391"/>
      <c r="E57" s="2391"/>
      <c r="F57" s="2391"/>
      <c r="G57" s="2392"/>
      <c r="H57" s="2391"/>
      <c r="I57" s="2392"/>
      <c r="J57" s="2391"/>
      <c r="K57" s="2391"/>
      <c r="L57" s="2392"/>
      <c r="M57" s="2391"/>
      <c r="N57" s="2391"/>
      <c r="O57" s="2392"/>
      <c r="P57" s="2391"/>
      <c r="Q57" s="2391"/>
      <c r="R57" s="2393"/>
    </row>
    <row r="58" spans="2:18" s="2365" customFormat="1">
      <c r="B58" s="2391"/>
      <c r="C58" s="2391"/>
      <c r="D58" s="2391"/>
      <c r="E58" s="2391"/>
      <c r="F58" s="2391"/>
      <c r="G58" s="2392"/>
      <c r="H58" s="2391"/>
      <c r="I58" s="2392"/>
      <c r="J58" s="2391"/>
      <c r="K58" s="2391"/>
      <c r="L58" s="2392"/>
      <c r="M58" s="2391"/>
      <c r="N58" s="2391"/>
      <c r="O58" s="2392"/>
      <c r="P58" s="2391"/>
      <c r="Q58" s="2391"/>
      <c r="R58" s="2393"/>
    </row>
    <row r="59" spans="2:18" s="2365" customFormat="1">
      <c r="B59" s="2391"/>
      <c r="C59" s="2391"/>
      <c r="D59" s="2391"/>
      <c r="E59" s="2391"/>
      <c r="F59" s="2391"/>
      <c r="G59" s="2392"/>
      <c r="H59" s="2391"/>
      <c r="I59" s="2392"/>
      <c r="J59" s="2391"/>
      <c r="K59" s="2391"/>
      <c r="L59" s="2392"/>
      <c r="M59" s="2391"/>
      <c r="N59" s="2391"/>
      <c r="O59" s="2392"/>
      <c r="P59" s="2391"/>
      <c r="Q59" s="2391"/>
      <c r="R59" s="2393"/>
    </row>
    <row r="60" spans="2:18" s="2365" customFormat="1">
      <c r="B60" s="2391"/>
      <c r="C60" s="2391"/>
      <c r="D60" s="2391"/>
      <c r="E60" s="2391"/>
      <c r="F60" s="2391"/>
      <c r="G60" s="2392"/>
      <c r="H60" s="2391"/>
      <c r="I60" s="2392"/>
      <c r="J60" s="2391"/>
      <c r="K60" s="2391"/>
      <c r="L60" s="2392"/>
      <c r="M60" s="2391"/>
      <c r="N60" s="2391"/>
      <c r="O60" s="2392"/>
      <c r="P60" s="2391"/>
      <c r="Q60" s="2391"/>
      <c r="R60" s="2393"/>
    </row>
    <row r="61" spans="2:18" s="2365" customFormat="1">
      <c r="B61" s="2391"/>
      <c r="C61" s="2391"/>
      <c r="D61" s="2391"/>
      <c r="E61" s="2391"/>
      <c r="F61" s="2391"/>
      <c r="G61" s="2392"/>
      <c r="H61" s="2391"/>
      <c r="I61" s="2392"/>
      <c r="J61" s="2391"/>
      <c r="K61" s="2391"/>
      <c r="L61" s="2392"/>
      <c r="M61" s="2391"/>
      <c r="N61" s="2391"/>
      <c r="O61" s="2392"/>
      <c r="P61" s="2391"/>
      <c r="Q61" s="2391"/>
      <c r="R61" s="2393"/>
    </row>
    <row r="62" spans="2:18" s="2365" customFormat="1">
      <c r="B62" s="2391"/>
      <c r="C62" s="2391"/>
      <c r="D62" s="2391"/>
      <c r="E62" s="2391"/>
      <c r="F62" s="2391"/>
      <c r="G62" s="2392"/>
      <c r="H62" s="2391"/>
      <c r="I62" s="2392"/>
      <c r="J62" s="2391"/>
      <c r="K62" s="2391"/>
      <c r="L62" s="2392"/>
      <c r="M62" s="2391"/>
      <c r="N62" s="2391"/>
      <c r="O62" s="2392"/>
      <c r="P62" s="2391"/>
      <c r="Q62" s="2391"/>
      <c r="R62" s="2393"/>
    </row>
    <row r="63" spans="2:18" s="2365" customFormat="1">
      <c r="B63" s="2391"/>
      <c r="C63" s="2391"/>
      <c r="D63" s="2391"/>
      <c r="E63" s="2391"/>
      <c r="F63" s="2391"/>
      <c r="G63" s="2392"/>
      <c r="H63" s="2391"/>
      <c r="I63" s="2392"/>
      <c r="J63" s="2391"/>
      <c r="K63" s="2391"/>
      <c r="L63" s="2392"/>
      <c r="M63" s="2391"/>
      <c r="N63" s="2391"/>
      <c r="O63" s="2392"/>
      <c r="P63" s="2391"/>
      <c r="Q63" s="2391"/>
      <c r="R63" s="2393"/>
    </row>
    <row r="64" spans="2:18" s="2365" customFormat="1">
      <c r="B64" s="2391"/>
      <c r="C64" s="2391"/>
      <c r="D64" s="2391"/>
      <c r="E64" s="2391"/>
      <c r="F64" s="2391"/>
      <c r="G64" s="2392"/>
      <c r="H64" s="2391"/>
      <c r="I64" s="2392"/>
      <c r="J64" s="2391"/>
      <c r="K64" s="2391"/>
      <c r="L64" s="2392"/>
      <c r="M64" s="2391"/>
      <c r="N64" s="2391"/>
      <c r="O64" s="2392"/>
      <c r="P64" s="2391"/>
      <c r="Q64" s="2391"/>
      <c r="R64" s="2393"/>
    </row>
    <row r="65" spans="2:18" s="2365" customFormat="1">
      <c r="B65" s="2391"/>
      <c r="C65" s="2391"/>
      <c r="D65" s="2391"/>
      <c r="E65" s="2391"/>
      <c r="F65" s="2391"/>
      <c r="G65" s="2392"/>
      <c r="H65" s="2391"/>
      <c r="I65" s="2392"/>
      <c r="J65" s="2391"/>
      <c r="K65" s="2391"/>
      <c r="L65" s="2392"/>
      <c r="M65" s="2391"/>
      <c r="N65" s="2391"/>
      <c r="O65" s="2392"/>
      <c r="P65" s="2391"/>
      <c r="Q65" s="2391"/>
      <c r="R65" s="2393"/>
    </row>
    <row r="66" spans="2:18" s="2365" customFormat="1">
      <c r="B66" s="2391"/>
      <c r="C66" s="2391"/>
      <c r="D66" s="2391"/>
      <c r="E66" s="2391"/>
      <c r="F66" s="2391"/>
      <c r="G66" s="2392"/>
      <c r="H66" s="2391"/>
      <c r="I66" s="2392"/>
      <c r="J66" s="2391"/>
      <c r="K66" s="2391"/>
      <c r="L66" s="2392"/>
      <c r="M66" s="2391"/>
      <c r="N66" s="2391"/>
      <c r="O66" s="2392"/>
      <c r="P66" s="2391"/>
      <c r="Q66" s="2391"/>
      <c r="R66" s="2393"/>
    </row>
    <row r="67" spans="2:18" s="2365" customFormat="1">
      <c r="B67" s="2391"/>
      <c r="C67" s="2391"/>
      <c r="D67" s="2391"/>
      <c r="E67" s="2391"/>
      <c r="F67" s="2391"/>
      <c r="G67" s="2392"/>
      <c r="H67" s="2391"/>
      <c r="I67" s="2392"/>
      <c r="J67" s="2391"/>
      <c r="K67" s="2391"/>
      <c r="L67" s="2392"/>
      <c r="M67" s="2391"/>
      <c r="N67" s="2391"/>
      <c r="O67" s="2392"/>
      <c r="P67" s="2391"/>
      <c r="Q67" s="2391"/>
      <c r="R67" s="2393"/>
    </row>
    <row r="68" spans="2:18" s="2365" customFormat="1">
      <c r="B68" s="2391"/>
      <c r="C68" s="2391"/>
      <c r="D68" s="2391"/>
      <c r="E68" s="2391"/>
      <c r="F68" s="2391"/>
      <c r="G68" s="2392"/>
      <c r="H68" s="2391"/>
      <c r="I68" s="2392"/>
      <c r="J68" s="2391"/>
      <c r="K68" s="2391"/>
      <c r="L68" s="2392"/>
      <c r="M68" s="2391"/>
      <c r="N68" s="2391"/>
      <c r="O68" s="2392"/>
      <c r="P68" s="2391"/>
      <c r="Q68" s="2391"/>
      <c r="R68" s="2393"/>
    </row>
    <row r="69" spans="2:18" s="2365" customFormat="1">
      <c r="B69" s="2391"/>
      <c r="C69" s="2391"/>
      <c r="D69" s="2391"/>
      <c r="E69" s="2391"/>
      <c r="F69" s="2391"/>
      <c r="G69" s="2392"/>
      <c r="H69" s="2391"/>
      <c r="I69" s="2392"/>
      <c r="J69" s="2391"/>
      <c r="K69" s="2391"/>
      <c r="L69" s="2392"/>
      <c r="M69" s="2391"/>
      <c r="N69" s="2391"/>
      <c r="O69" s="2392"/>
      <c r="P69" s="2391"/>
      <c r="Q69" s="2391"/>
      <c r="R69" s="2393"/>
    </row>
    <row r="70" spans="2:18" s="2365" customFormat="1">
      <c r="B70" s="2391"/>
      <c r="C70" s="2391"/>
      <c r="D70" s="2391"/>
      <c r="E70" s="2391"/>
      <c r="F70" s="2391"/>
      <c r="G70" s="2392"/>
      <c r="H70" s="2391"/>
      <c r="I70" s="2392"/>
      <c r="J70" s="2391"/>
      <c r="K70" s="2391"/>
      <c r="L70" s="2392"/>
      <c r="M70" s="2391"/>
      <c r="N70" s="2391"/>
      <c r="O70" s="2392"/>
      <c r="P70" s="2391"/>
      <c r="Q70" s="2391"/>
      <c r="R70" s="2393"/>
    </row>
    <row r="71" spans="2:18" s="2365" customFormat="1">
      <c r="B71" s="2391"/>
      <c r="C71" s="2391"/>
      <c r="D71" s="2391"/>
      <c r="E71" s="2391"/>
      <c r="F71" s="2391"/>
      <c r="G71" s="2392"/>
      <c r="H71" s="2391"/>
      <c r="I71" s="2392"/>
      <c r="J71" s="2391"/>
      <c r="K71" s="2391"/>
      <c r="L71" s="2392"/>
      <c r="M71" s="2391"/>
      <c r="N71" s="2391"/>
      <c r="O71" s="2392"/>
      <c r="P71" s="2391"/>
      <c r="Q71" s="2391"/>
      <c r="R71" s="2393"/>
    </row>
    <row r="72" spans="2:18" s="2365" customFormat="1">
      <c r="B72" s="2391"/>
      <c r="C72" s="2391"/>
      <c r="D72" s="2391"/>
      <c r="E72" s="2391"/>
      <c r="F72" s="2391"/>
      <c r="G72" s="2392"/>
      <c r="H72" s="2391"/>
      <c r="I72" s="2392"/>
      <c r="J72" s="2391"/>
      <c r="K72" s="2391"/>
      <c r="L72" s="2392"/>
      <c r="M72" s="2391"/>
      <c r="N72" s="2391"/>
      <c r="O72" s="2392"/>
      <c r="P72" s="2391"/>
      <c r="Q72" s="2391"/>
      <c r="R72" s="2393"/>
    </row>
    <row r="73" spans="2:18" s="2365" customFormat="1">
      <c r="B73" s="2391"/>
      <c r="C73" s="2391"/>
      <c r="D73" s="2391"/>
      <c r="E73" s="2391"/>
      <c r="F73" s="2391"/>
      <c r="G73" s="2392"/>
      <c r="H73" s="2391"/>
      <c r="I73" s="2392"/>
      <c r="J73" s="2391"/>
      <c r="K73" s="2391"/>
      <c r="L73" s="2392"/>
      <c r="M73" s="2391"/>
      <c r="N73" s="2391"/>
      <c r="O73" s="2392"/>
      <c r="P73" s="2391"/>
      <c r="Q73" s="2391"/>
      <c r="R73" s="2393"/>
    </row>
    <row r="74" spans="2:18" s="2365" customFormat="1">
      <c r="B74" s="2391"/>
      <c r="C74" s="2391"/>
      <c r="D74" s="2391"/>
      <c r="E74" s="2391"/>
      <c r="F74" s="2391"/>
      <c r="G74" s="2392"/>
      <c r="H74" s="2391"/>
      <c r="I74" s="2392"/>
      <c r="J74" s="2391"/>
      <c r="K74" s="2391"/>
      <c r="L74" s="2392"/>
      <c r="M74" s="2391"/>
      <c r="N74" s="2391"/>
      <c r="O74" s="2392"/>
      <c r="P74" s="2391"/>
      <c r="Q74" s="2391"/>
      <c r="R74" s="2393"/>
    </row>
    <row r="75" spans="2:18" s="2365" customFormat="1">
      <c r="B75" s="2391"/>
      <c r="C75" s="2391"/>
      <c r="D75" s="2391"/>
      <c r="E75" s="2391"/>
      <c r="F75" s="2391"/>
      <c r="G75" s="2392"/>
      <c r="H75" s="2391"/>
      <c r="I75" s="2392"/>
      <c r="J75" s="2391"/>
      <c r="K75" s="2391"/>
      <c r="L75" s="2392"/>
      <c r="M75" s="2391"/>
      <c r="N75" s="2391"/>
      <c r="O75" s="2392"/>
      <c r="P75" s="2391"/>
      <c r="Q75" s="2391"/>
      <c r="R75" s="2393"/>
    </row>
    <row r="76" spans="2:18" s="2365" customFormat="1">
      <c r="B76" s="2391"/>
      <c r="C76" s="2391"/>
      <c r="D76" s="2391"/>
      <c r="E76" s="2391"/>
      <c r="F76" s="2391"/>
      <c r="G76" s="2392"/>
      <c r="H76" s="2391"/>
      <c r="I76" s="2392"/>
      <c r="J76" s="2391"/>
      <c r="K76" s="2391"/>
      <c r="L76" s="2392"/>
      <c r="M76" s="2391"/>
      <c r="N76" s="2391"/>
      <c r="O76" s="2392"/>
      <c r="P76" s="2391"/>
      <c r="Q76" s="2391"/>
      <c r="R76" s="2393"/>
    </row>
    <row r="77" spans="2:18" s="2365" customFormat="1">
      <c r="B77" s="2391"/>
      <c r="C77" s="2391"/>
      <c r="D77" s="2391"/>
      <c r="E77" s="2391"/>
      <c r="F77" s="2391"/>
      <c r="G77" s="2392"/>
      <c r="H77" s="2391"/>
      <c r="I77" s="2392"/>
      <c r="J77" s="2391"/>
      <c r="K77" s="2391"/>
      <c r="L77" s="2392"/>
      <c r="M77" s="2391"/>
      <c r="N77" s="2391"/>
      <c r="O77" s="2392"/>
      <c r="P77" s="2391"/>
      <c r="Q77" s="2391"/>
      <c r="R77" s="2393"/>
    </row>
    <row r="78" spans="2:18" s="2365" customFormat="1">
      <c r="B78" s="2391"/>
      <c r="C78" s="2391"/>
      <c r="D78" s="2391"/>
      <c r="E78" s="2391"/>
      <c r="F78" s="2391"/>
      <c r="G78" s="2392"/>
      <c r="H78" s="2391"/>
      <c r="I78" s="2392"/>
      <c r="J78" s="2391"/>
      <c r="K78" s="2391"/>
      <c r="L78" s="2392"/>
      <c r="M78" s="2391"/>
      <c r="N78" s="2391"/>
      <c r="O78" s="2392"/>
      <c r="P78" s="2391"/>
      <c r="Q78" s="2391"/>
      <c r="R78" s="2393"/>
    </row>
    <row r="79" spans="2:18" s="2365" customFormat="1">
      <c r="B79" s="2391"/>
      <c r="C79" s="2391"/>
      <c r="D79" s="2391"/>
      <c r="E79" s="2391"/>
      <c r="F79" s="2391"/>
      <c r="G79" s="2392"/>
      <c r="H79" s="2391"/>
      <c r="I79" s="2392"/>
      <c r="J79" s="2391"/>
      <c r="K79" s="2391"/>
      <c r="L79" s="2392"/>
      <c r="M79" s="2391"/>
      <c r="N79" s="2391"/>
      <c r="O79" s="2392"/>
      <c r="P79" s="2391"/>
      <c r="Q79" s="2391"/>
      <c r="R79" s="2393"/>
    </row>
    <row r="80" spans="2:18" s="2365" customFormat="1">
      <c r="B80" s="2391"/>
      <c r="C80" s="2391"/>
      <c r="D80" s="2391"/>
      <c r="E80" s="2391"/>
      <c r="F80" s="2391"/>
      <c r="G80" s="2392"/>
      <c r="H80" s="2391"/>
      <c r="I80" s="2392"/>
      <c r="J80" s="2391"/>
      <c r="K80" s="2391"/>
      <c r="L80" s="2392"/>
      <c r="M80" s="2391"/>
      <c r="N80" s="2391"/>
      <c r="O80" s="2392"/>
      <c r="P80" s="2391"/>
      <c r="Q80" s="2391"/>
      <c r="R80" s="2393"/>
    </row>
    <row r="81" spans="2:18" s="2365" customFormat="1">
      <c r="B81" s="2391"/>
      <c r="C81" s="2391"/>
      <c r="D81" s="2391"/>
      <c r="E81" s="2391"/>
      <c r="F81" s="2391"/>
      <c r="G81" s="2392"/>
      <c r="H81" s="2391"/>
      <c r="I81" s="2392"/>
      <c r="J81" s="2391"/>
      <c r="K81" s="2391"/>
      <c r="L81" s="2392"/>
      <c r="M81" s="2391"/>
      <c r="N81" s="2391"/>
      <c r="O81" s="2392"/>
      <c r="P81" s="2391"/>
      <c r="Q81" s="2391"/>
      <c r="R81" s="2393"/>
    </row>
    <row r="82" spans="2:18" s="2365" customFormat="1">
      <c r="B82" s="2391"/>
      <c r="C82" s="2391"/>
      <c r="D82" s="2391"/>
      <c r="E82" s="2391"/>
      <c r="F82" s="2391"/>
      <c r="G82" s="2392"/>
      <c r="H82" s="2391"/>
      <c r="I82" s="2392"/>
      <c r="J82" s="2391"/>
      <c r="K82" s="2391"/>
      <c r="L82" s="2392"/>
      <c r="M82" s="2391"/>
      <c r="N82" s="2391"/>
      <c r="O82" s="2392"/>
      <c r="P82" s="2391"/>
      <c r="Q82" s="2391"/>
      <c r="R82" s="2393"/>
    </row>
    <row r="83" spans="2:18" s="2365" customFormat="1">
      <c r="B83" s="2391"/>
      <c r="C83" s="2391"/>
      <c r="D83" s="2391"/>
      <c r="E83" s="2391"/>
      <c r="F83" s="2391"/>
      <c r="G83" s="2392"/>
      <c r="H83" s="2391"/>
      <c r="I83" s="2392"/>
      <c r="J83" s="2391"/>
      <c r="K83" s="2391"/>
      <c r="L83" s="2392"/>
      <c r="M83" s="2391"/>
      <c r="N83" s="2391"/>
      <c r="O83" s="2392"/>
      <c r="P83" s="2391"/>
      <c r="Q83" s="2391"/>
      <c r="R83" s="2393"/>
    </row>
    <row r="84" spans="2:18" s="2365" customFormat="1">
      <c r="B84" s="2391"/>
      <c r="C84" s="2391"/>
      <c r="D84" s="2391"/>
      <c r="E84" s="2391"/>
      <c r="F84" s="2391"/>
      <c r="G84" s="2392"/>
      <c r="H84" s="2391"/>
      <c r="I84" s="2392"/>
      <c r="J84" s="2391"/>
      <c r="K84" s="2391"/>
      <c r="L84" s="2392"/>
      <c r="M84" s="2391"/>
      <c r="N84" s="2391"/>
      <c r="O84" s="2392"/>
      <c r="P84" s="2391"/>
      <c r="Q84" s="2391"/>
      <c r="R84" s="2393"/>
    </row>
    <row r="85" spans="2:18" s="2365" customFormat="1">
      <c r="B85" s="2391"/>
      <c r="C85" s="2391"/>
      <c r="D85" s="2391"/>
      <c r="E85" s="2391"/>
      <c r="F85" s="2391"/>
      <c r="G85" s="2392"/>
      <c r="H85" s="2391"/>
      <c r="I85" s="2392"/>
      <c r="J85" s="2391"/>
      <c r="K85" s="2391"/>
      <c r="L85" s="2392"/>
      <c r="M85" s="2391"/>
      <c r="N85" s="2391"/>
      <c r="O85" s="2392"/>
      <c r="P85" s="2391"/>
      <c r="Q85" s="2391"/>
      <c r="R85" s="2393"/>
    </row>
    <row r="86" spans="2:18" s="2365" customFormat="1">
      <c r="B86" s="2391"/>
      <c r="C86" s="2391"/>
      <c r="D86" s="2391"/>
      <c r="E86" s="2391"/>
      <c r="F86" s="2391"/>
      <c r="G86" s="2392"/>
      <c r="H86" s="2391"/>
      <c r="I86" s="2392"/>
      <c r="J86" s="2391"/>
      <c r="K86" s="2391"/>
      <c r="L86" s="2392"/>
      <c r="M86" s="2391"/>
      <c r="N86" s="2391"/>
      <c r="O86" s="2392"/>
      <c r="P86" s="2391"/>
      <c r="Q86" s="2391"/>
      <c r="R86" s="2393"/>
    </row>
    <row r="87" spans="2:18" s="2365" customFormat="1">
      <c r="B87" s="2391"/>
      <c r="C87" s="2391"/>
      <c r="D87" s="2391"/>
      <c r="E87" s="2391"/>
      <c r="F87" s="2391"/>
      <c r="G87" s="2392"/>
      <c r="H87" s="2391"/>
      <c r="I87" s="2392"/>
      <c r="J87" s="2391"/>
      <c r="K87" s="2391"/>
      <c r="L87" s="2392"/>
      <c r="M87" s="2391"/>
      <c r="N87" s="2391"/>
      <c r="O87" s="2392"/>
      <c r="P87" s="2391"/>
      <c r="Q87" s="2391"/>
      <c r="R87" s="2393"/>
    </row>
    <row r="88" spans="2:18" s="2365" customFormat="1">
      <c r="B88" s="2391"/>
      <c r="C88" s="2391"/>
      <c r="D88" s="2391"/>
      <c r="E88" s="2391"/>
      <c r="F88" s="2391"/>
      <c r="G88" s="2392"/>
      <c r="H88" s="2391"/>
      <c r="I88" s="2392"/>
      <c r="J88" s="2391"/>
      <c r="K88" s="2391"/>
      <c r="L88" s="2392"/>
      <c r="M88" s="2391"/>
      <c r="N88" s="2391"/>
      <c r="O88" s="2392"/>
      <c r="P88" s="2391"/>
      <c r="Q88" s="2391"/>
      <c r="R88" s="2393"/>
    </row>
    <row r="89" spans="2:18" s="2365" customFormat="1">
      <c r="B89" s="2391"/>
      <c r="C89" s="2391"/>
      <c r="D89" s="2391"/>
      <c r="E89" s="2391"/>
      <c r="F89" s="2391"/>
      <c r="G89" s="2392"/>
      <c r="H89" s="2391"/>
      <c r="I89" s="2392"/>
      <c r="J89" s="2391"/>
      <c r="K89" s="2391"/>
      <c r="L89" s="2392"/>
      <c r="M89" s="2391"/>
      <c r="N89" s="2391"/>
      <c r="O89" s="2392"/>
      <c r="P89" s="2391"/>
      <c r="Q89" s="2391"/>
      <c r="R89" s="2393"/>
    </row>
    <row r="90" spans="2:18" s="2365" customFormat="1">
      <c r="B90" s="2391"/>
      <c r="C90" s="2391"/>
      <c r="D90" s="2391"/>
      <c r="E90" s="2391"/>
      <c r="F90" s="2391"/>
      <c r="G90" s="2392"/>
      <c r="H90" s="2391"/>
      <c r="I90" s="2392"/>
      <c r="J90" s="2391"/>
      <c r="K90" s="2391"/>
      <c r="L90" s="2392"/>
      <c r="M90" s="2391"/>
      <c r="N90" s="2391"/>
      <c r="O90" s="2392"/>
      <c r="P90" s="2391"/>
      <c r="Q90" s="2391"/>
      <c r="R90" s="2393"/>
    </row>
    <row r="91" spans="2:18" s="2365" customFormat="1">
      <c r="B91" s="2391"/>
      <c r="C91" s="2391"/>
      <c r="D91" s="2391"/>
      <c r="E91" s="2391"/>
      <c r="F91" s="2391"/>
      <c r="G91" s="2392"/>
      <c r="H91" s="2391"/>
      <c r="I91" s="2392"/>
      <c r="J91" s="2391"/>
      <c r="K91" s="2391"/>
      <c r="L91" s="2392"/>
      <c r="M91" s="2391"/>
      <c r="N91" s="2391"/>
      <c r="O91" s="2392"/>
      <c r="P91" s="2391"/>
      <c r="Q91" s="2391"/>
      <c r="R91" s="2393"/>
    </row>
    <row r="92" spans="2:18" s="2365" customFormat="1">
      <c r="B92" s="2391"/>
      <c r="C92" s="2391"/>
      <c r="D92" s="2391"/>
      <c r="E92" s="2391"/>
      <c r="F92" s="2391"/>
      <c r="G92" s="2392"/>
      <c r="H92" s="2391"/>
      <c r="I92" s="2392"/>
      <c r="J92" s="2391"/>
      <c r="K92" s="2391"/>
      <c r="L92" s="2392"/>
      <c r="M92" s="2391"/>
      <c r="N92" s="2391"/>
      <c r="O92" s="2392"/>
      <c r="P92" s="2391"/>
      <c r="Q92" s="2391"/>
      <c r="R92" s="2393"/>
    </row>
    <row r="93" spans="2:18" s="2365" customFormat="1">
      <c r="B93" s="2391"/>
      <c r="C93" s="2391"/>
      <c r="D93" s="2391"/>
      <c r="E93" s="2391"/>
      <c r="F93" s="2391"/>
      <c r="G93" s="2392"/>
      <c r="H93" s="2391"/>
      <c r="I93" s="2392"/>
      <c r="J93" s="2391"/>
      <c r="K93" s="2391"/>
      <c r="L93" s="2392"/>
      <c r="M93" s="2391"/>
      <c r="N93" s="2391"/>
      <c r="O93" s="2392"/>
      <c r="P93" s="2391"/>
      <c r="Q93" s="2391"/>
      <c r="R93" s="2393"/>
    </row>
    <row r="94" spans="2:18" s="2365" customFormat="1">
      <c r="B94" s="2391"/>
      <c r="C94" s="2391"/>
      <c r="D94" s="2391"/>
      <c r="E94" s="2391"/>
      <c r="F94" s="2391"/>
      <c r="G94" s="2392"/>
      <c r="H94" s="2391"/>
      <c r="I94" s="2392"/>
      <c r="J94" s="2391"/>
      <c r="K94" s="2391"/>
      <c r="L94" s="2392"/>
      <c r="M94" s="2391"/>
      <c r="N94" s="2391"/>
      <c r="O94" s="2392"/>
      <c r="P94" s="2391"/>
      <c r="Q94" s="2391"/>
      <c r="R94" s="2393"/>
    </row>
    <row r="95" spans="2:18" s="2365" customFormat="1">
      <c r="B95" s="2391"/>
      <c r="C95" s="2391"/>
      <c r="D95" s="2391"/>
      <c r="E95" s="2391"/>
      <c r="F95" s="2391"/>
      <c r="G95" s="2392"/>
      <c r="H95" s="2391"/>
      <c r="I95" s="2392"/>
      <c r="J95" s="2391"/>
      <c r="K95" s="2391"/>
      <c r="L95" s="2392"/>
      <c r="M95" s="2391"/>
      <c r="N95" s="2391"/>
      <c r="O95" s="2392"/>
      <c r="P95" s="2391"/>
      <c r="Q95" s="2391"/>
      <c r="R95" s="2393"/>
    </row>
    <row r="96" spans="2:18" s="2365" customFormat="1">
      <c r="B96" s="2391"/>
      <c r="C96" s="2391"/>
      <c r="D96" s="2391"/>
      <c r="E96" s="2391"/>
      <c r="F96" s="2391"/>
      <c r="G96" s="2392"/>
      <c r="H96" s="2391"/>
      <c r="I96" s="2392"/>
      <c r="J96" s="2391"/>
      <c r="K96" s="2391"/>
      <c r="L96" s="2392"/>
      <c r="M96" s="2391"/>
      <c r="N96" s="2391"/>
      <c r="O96" s="2392"/>
      <c r="P96" s="2391"/>
      <c r="Q96" s="2391"/>
      <c r="R96" s="2393"/>
    </row>
    <row r="97" spans="2:18" s="2365" customFormat="1">
      <c r="B97" s="2391"/>
      <c r="C97" s="2391"/>
      <c r="D97" s="2391"/>
      <c r="E97" s="2391"/>
      <c r="F97" s="2391"/>
      <c r="G97" s="2392"/>
      <c r="H97" s="2391"/>
      <c r="I97" s="2392"/>
      <c r="J97" s="2391"/>
      <c r="K97" s="2391"/>
      <c r="L97" s="2392"/>
      <c r="M97" s="2391"/>
      <c r="N97" s="2391"/>
      <c r="O97" s="2392"/>
      <c r="P97" s="2391"/>
      <c r="Q97" s="2391"/>
      <c r="R97" s="2393"/>
    </row>
    <row r="98" spans="2:18" s="2365" customFormat="1">
      <c r="B98" s="2391"/>
      <c r="C98" s="2391"/>
      <c r="D98" s="2391"/>
      <c r="E98" s="2391"/>
      <c r="F98" s="2391"/>
      <c r="G98" s="2392"/>
      <c r="H98" s="2391"/>
      <c r="I98" s="2392"/>
      <c r="J98" s="2391"/>
      <c r="K98" s="2391"/>
      <c r="L98" s="2392"/>
      <c r="M98" s="2391"/>
      <c r="N98" s="2391"/>
      <c r="O98" s="2392"/>
      <c r="P98" s="2391"/>
      <c r="Q98" s="2391"/>
      <c r="R98" s="2393"/>
    </row>
    <row r="99" spans="2:18" s="2365" customFormat="1">
      <c r="B99" s="2391"/>
      <c r="C99" s="2391"/>
      <c r="D99" s="2391"/>
      <c r="E99" s="2391"/>
      <c r="F99" s="2391"/>
      <c r="G99" s="2392"/>
      <c r="H99" s="2391"/>
      <c r="I99" s="2392"/>
      <c r="J99" s="2391"/>
      <c r="K99" s="2391"/>
      <c r="L99" s="2392"/>
      <c r="M99" s="2391"/>
      <c r="N99" s="2391"/>
      <c r="O99" s="2392"/>
      <c r="P99" s="2391"/>
      <c r="Q99" s="2391"/>
      <c r="R99" s="2393"/>
    </row>
    <row r="100" spans="2:18" s="2365" customFormat="1">
      <c r="B100" s="2391"/>
      <c r="C100" s="2391"/>
      <c r="D100" s="2391"/>
      <c r="E100" s="2391"/>
      <c r="F100" s="2391"/>
      <c r="G100" s="2392"/>
      <c r="H100" s="2391"/>
      <c r="I100" s="2392"/>
      <c r="J100" s="2391"/>
      <c r="K100" s="2391"/>
      <c r="L100" s="2392"/>
      <c r="M100" s="2391"/>
      <c r="N100" s="2391"/>
      <c r="O100" s="2392"/>
      <c r="P100" s="2391"/>
      <c r="Q100" s="2391"/>
      <c r="R100" s="2393"/>
    </row>
    <row r="101" spans="2:18" s="2365" customFormat="1">
      <c r="B101" s="2391"/>
      <c r="C101" s="2391"/>
      <c r="D101" s="2391"/>
      <c r="E101" s="2391"/>
      <c r="F101" s="2391"/>
      <c r="G101" s="2392"/>
      <c r="H101" s="2391"/>
      <c r="I101" s="2392"/>
      <c r="J101" s="2391"/>
      <c r="K101" s="2391"/>
      <c r="L101" s="2392"/>
      <c r="M101" s="2391"/>
      <c r="N101" s="2391"/>
      <c r="O101" s="2392"/>
      <c r="P101" s="2391"/>
      <c r="Q101" s="2391"/>
      <c r="R101" s="2393"/>
    </row>
    <row r="102" spans="2:18" s="2365" customFormat="1">
      <c r="B102" s="2391"/>
      <c r="C102" s="2391"/>
      <c r="D102" s="2391"/>
      <c r="E102" s="2391"/>
      <c r="F102" s="2391"/>
      <c r="G102" s="2392"/>
      <c r="H102" s="2391"/>
      <c r="I102" s="2392"/>
      <c r="J102" s="2391"/>
      <c r="K102" s="2391"/>
      <c r="L102" s="2392"/>
      <c r="M102" s="2391"/>
      <c r="N102" s="2391"/>
      <c r="O102" s="2392"/>
      <c r="P102" s="2391"/>
      <c r="Q102" s="2391"/>
      <c r="R102" s="2393"/>
    </row>
    <row r="103" spans="2:18" s="2365" customFormat="1">
      <c r="B103" s="2391"/>
      <c r="C103" s="2391"/>
      <c r="D103" s="2391"/>
      <c r="E103" s="2391"/>
      <c r="F103" s="2391"/>
      <c r="G103" s="2392"/>
      <c r="H103" s="2391"/>
      <c r="I103" s="2392"/>
      <c r="J103" s="2391"/>
      <c r="K103" s="2391"/>
      <c r="L103" s="2392"/>
      <c r="M103" s="2391"/>
      <c r="N103" s="2391"/>
      <c r="O103" s="2392"/>
      <c r="P103" s="2391"/>
      <c r="Q103" s="2391"/>
      <c r="R103" s="2393"/>
    </row>
    <row r="104" spans="2:18" s="2365" customFormat="1">
      <c r="B104" s="2391"/>
      <c r="C104" s="2391"/>
      <c r="D104" s="2391"/>
      <c r="E104" s="2391"/>
      <c r="F104" s="2391"/>
      <c r="G104" s="2392"/>
      <c r="H104" s="2391"/>
      <c r="I104" s="2392"/>
      <c r="J104" s="2391"/>
      <c r="K104" s="2391"/>
      <c r="L104" s="2392"/>
      <c r="M104" s="2391"/>
      <c r="N104" s="2391"/>
      <c r="O104" s="2392"/>
      <c r="P104" s="2391"/>
      <c r="Q104" s="2391"/>
      <c r="R104" s="2393"/>
    </row>
    <row r="105" spans="2:18" s="2365" customFormat="1">
      <c r="B105" s="2391"/>
      <c r="C105" s="2391"/>
      <c r="D105" s="2391"/>
      <c r="E105" s="2391"/>
      <c r="F105" s="2391"/>
      <c r="G105" s="2392"/>
      <c r="H105" s="2391"/>
      <c r="I105" s="2392"/>
      <c r="J105" s="2391"/>
      <c r="K105" s="2391"/>
      <c r="L105" s="2392"/>
      <c r="M105" s="2391"/>
      <c r="N105" s="2391"/>
      <c r="O105" s="2392"/>
      <c r="P105" s="2391"/>
      <c r="Q105" s="2391"/>
      <c r="R105" s="2393"/>
    </row>
    <row r="106" spans="2:18" s="2365" customFormat="1">
      <c r="B106" s="2391"/>
      <c r="C106" s="2391"/>
      <c r="D106" s="2391"/>
      <c r="E106" s="2391"/>
      <c r="F106" s="2391"/>
      <c r="G106" s="2392"/>
      <c r="H106" s="2391"/>
      <c r="I106" s="2392"/>
      <c r="J106" s="2391"/>
      <c r="K106" s="2391"/>
      <c r="L106" s="2392"/>
      <c r="M106" s="2391"/>
      <c r="N106" s="2391"/>
      <c r="O106" s="2392"/>
      <c r="P106" s="2391"/>
      <c r="Q106" s="2391"/>
      <c r="R106" s="2393"/>
    </row>
    <row r="107" spans="2:18" s="2365" customFormat="1">
      <c r="B107" s="2391"/>
      <c r="C107" s="2391"/>
      <c r="D107" s="2391"/>
      <c r="E107" s="2391"/>
      <c r="F107" s="2391"/>
      <c r="G107" s="2392"/>
      <c r="H107" s="2391"/>
      <c r="I107" s="2392"/>
      <c r="J107" s="2391"/>
      <c r="K107" s="2391"/>
      <c r="L107" s="2392"/>
      <c r="M107" s="2391"/>
      <c r="N107" s="2391"/>
      <c r="O107" s="2392"/>
      <c r="P107" s="2391"/>
      <c r="Q107" s="2391"/>
      <c r="R107" s="2393"/>
    </row>
    <row r="108" spans="2:18" s="2365" customFormat="1">
      <c r="B108" s="2391"/>
      <c r="C108" s="2391"/>
      <c r="D108" s="2391"/>
      <c r="E108" s="2391"/>
      <c r="F108" s="2391"/>
      <c r="G108" s="2392"/>
      <c r="H108" s="2391"/>
      <c r="I108" s="2392"/>
      <c r="J108" s="2391"/>
      <c r="K108" s="2391"/>
      <c r="L108" s="2392"/>
      <c r="M108" s="2391"/>
      <c r="N108" s="2391"/>
      <c r="O108" s="2392"/>
      <c r="P108" s="2391"/>
      <c r="Q108" s="2391"/>
      <c r="R108" s="2393"/>
    </row>
    <row r="109" spans="2:18" s="2365" customFormat="1">
      <c r="B109" s="2391"/>
      <c r="C109" s="2391"/>
      <c r="D109" s="2391"/>
      <c r="E109" s="2391"/>
      <c r="F109" s="2391"/>
      <c r="G109" s="2392"/>
      <c r="H109" s="2391"/>
      <c r="I109" s="2392"/>
      <c r="J109" s="2391"/>
      <c r="K109" s="2391"/>
      <c r="L109" s="2392"/>
      <c r="M109" s="2391"/>
      <c r="N109" s="2391"/>
      <c r="O109" s="2392"/>
      <c r="P109" s="2391"/>
      <c r="Q109" s="2391"/>
      <c r="R109" s="2393"/>
    </row>
    <row r="110" spans="2:18" s="2365" customFormat="1">
      <c r="B110" s="2391"/>
      <c r="C110" s="2391"/>
      <c r="D110" s="2391"/>
      <c r="E110" s="2391"/>
      <c r="F110" s="2391"/>
      <c r="G110" s="2392"/>
      <c r="H110" s="2391"/>
      <c r="I110" s="2392"/>
      <c r="J110" s="2391"/>
      <c r="K110" s="2391"/>
      <c r="L110" s="2392"/>
      <c r="M110" s="2391"/>
      <c r="N110" s="2391"/>
      <c r="O110" s="2392"/>
      <c r="P110" s="2391"/>
      <c r="Q110" s="2391"/>
      <c r="R110" s="2393"/>
    </row>
    <row r="111" spans="2:18" s="2365" customFormat="1">
      <c r="B111" s="2391"/>
      <c r="C111" s="2391"/>
      <c r="D111" s="2391"/>
      <c r="E111" s="2391"/>
      <c r="F111" s="2391"/>
      <c r="G111" s="2392"/>
      <c r="H111" s="2391"/>
      <c r="I111" s="2392"/>
      <c r="J111" s="2391"/>
      <c r="K111" s="2391"/>
      <c r="L111" s="2392"/>
      <c r="M111" s="2391"/>
      <c r="N111" s="2391"/>
      <c r="O111" s="2392"/>
      <c r="P111" s="2391"/>
      <c r="Q111" s="2391"/>
      <c r="R111" s="2393"/>
    </row>
    <row r="112" spans="2:18" s="2365" customFormat="1">
      <c r="B112" s="2391"/>
      <c r="C112" s="2391"/>
      <c r="D112" s="2391"/>
      <c r="E112" s="2391"/>
      <c r="F112" s="2391"/>
      <c r="G112" s="2392"/>
      <c r="H112" s="2391"/>
      <c r="I112" s="2392"/>
      <c r="J112" s="2391"/>
      <c r="K112" s="2391"/>
      <c r="L112" s="2392"/>
      <c r="M112" s="2391"/>
      <c r="N112" s="2391"/>
      <c r="O112" s="2392"/>
      <c r="P112" s="2391"/>
      <c r="Q112" s="2391"/>
      <c r="R112" s="2393"/>
    </row>
    <row r="113" spans="2:18" s="2365" customFormat="1">
      <c r="B113" s="2391"/>
      <c r="C113" s="2391"/>
      <c r="D113" s="2391"/>
      <c r="E113" s="2391"/>
      <c r="F113" s="2391"/>
      <c r="G113" s="2392"/>
      <c r="H113" s="2391"/>
      <c r="I113" s="2392"/>
      <c r="J113" s="2391"/>
      <c r="K113" s="2391"/>
      <c r="L113" s="2392"/>
      <c r="M113" s="2391"/>
      <c r="N113" s="2391"/>
      <c r="O113" s="2392"/>
      <c r="P113" s="2391"/>
      <c r="Q113" s="2391"/>
      <c r="R113" s="2393"/>
    </row>
    <row r="114" spans="2:18" s="2365" customFormat="1">
      <c r="B114" s="2391"/>
      <c r="C114" s="2391"/>
      <c r="D114" s="2391"/>
      <c r="E114" s="2391"/>
      <c r="F114" s="2391"/>
      <c r="G114" s="2392"/>
      <c r="H114" s="2391"/>
      <c r="I114" s="2392"/>
      <c r="J114" s="2391"/>
      <c r="K114" s="2391"/>
      <c r="L114" s="2392"/>
      <c r="M114" s="2391"/>
      <c r="N114" s="2391"/>
      <c r="O114" s="2392"/>
      <c r="P114" s="2391"/>
      <c r="Q114" s="2391"/>
      <c r="R114" s="2393"/>
    </row>
    <row r="115" spans="2:18" s="2365" customFormat="1">
      <c r="B115" s="2391"/>
      <c r="C115" s="2391"/>
      <c r="D115" s="2391"/>
      <c r="E115" s="2391"/>
      <c r="F115" s="2391"/>
      <c r="G115" s="2392"/>
      <c r="H115" s="2391"/>
      <c r="I115" s="2392"/>
      <c r="J115" s="2391"/>
      <c r="K115" s="2391"/>
      <c r="L115" s="2392"/>
      <c r="M115" s="2391"/>
      <c r="N115" s="2391"/>
      <c r="O115" s="2392"/>
      <c r="P115" s="2391"/>
      <c r="Q115" s="2391"/>
      <c r="R115" s="2393"/>
    </row>
    <row r="116" spans="2:18" s="2365" customFormat="1">
      <c r="B116" s="2391"/>
      <c r="C116" s="2391"/>
      <c r="D116" s="2391"/>
      <c r="E116" s="2391"/>
      <c r="F116" s="2391"/>
      <c r="G116" s="2392"/>
      <c r="H116" s="2391"/>
      <c r="I116" s="2392"/>
      <c r="J116" s="2391"/>
      <c r="K116" s="2391"/>
      <c r="L116" s="2392"/>
      <c r="M116" s="2391"/>
      <c r="N116" s="2391"/>
      <c r="O116" s="2392"/>
      <c r="P116" s="2391"/>
      <c r="Q116" s="2391"/>
      <c r="R116" s="2393"/>
    </row>
    <row r="117" spans="2:18" s="2365" customFormat="1">
      <c r="B117" s="2391"/>
      <c r="C117" s="2391"/>
      <c r="D117" s="2391"/>
      <c r="E117" s="2391"/>
      <c r="F117" s="2391"/>
      <c r="G117" s="2392"/>
      <c r="H117" s="2391"/>
      <c r="I117" s="2392"/>
      <c r="J117" s="2391"/>
      <c r="K117" s="2391"/>
      <c r="L117" s="2392"/>
      <c r="M117" s="2391"/>
      <c r="N117" s="2391"/>
      <c r="O117" s="2392"/>
      <c r="P117" s="2391"/>
      <c r="Q117" s="2391"/>
      <c r="R117" s="2393"/>
    </row>
    <row r="118" spans="2:18" s="2365" customFormat="1">
      <c r="B118" s="2391"/>
      <c r="C118" s="2391"/>
      <c r="D118" s="2391"/>
      <c r="E118" s="2391"/>
      <c r="F118" s="2391"/>
      <c r="G118" s="2392"/>
      <c r="H118" s="2391"/>
      <c r="I118" s="2392"/>
      <c r="J118" s="2391"/>
      <c r="K118" s="2391"/>
      <c r="L118" s="2392"/>
      <c r="M118" s="2391"/>
      <c r="N118" s="2391"/>
      <c r="O118" s="2392"/>
      <c r="P118" s="2391"/>
      <c r="Q118" s="2391"/>
      <c r="R118" s="2393"/>
    </row>
    <row r="119" spans="2:18" s="2365" customFormat="1">
      <c r="B119" s="2391"/>
      <c r="C119" s="2391"/>
      <c r="D119" s="2391"/>
      <c r="E119" s="2391"/>
      <c r="F119" s="2391"/>
      <c r="G119" s="2392"/>
      <c r="H119" s="2391"/>
      <c r="I119" s="2392"/>
      <c r="J119" s="2391"/>
      <c r="K119" s="2391"/>
      <c r="L119" s="2392"/>
      <c r="M119" s="2391"/>
      <c r="N119" s="2391"/>
      <c r="O119" s="2392"/>
      <c r="P119" s="2391"/>
      <c r="Q119" s="2391"/>
      <c r="R119" s="2393"/>
    </row>
    <row r="120" spans="2:18" s="2365" customFormat="1">
      <c r="B120" s="2391"/>
      <c r="C120" s="2391"/>
      <c r="D120" s="2391"/>
      <c r="E120" s="2391"/>
      <c r="F120" s="2391"/>
      <c r="G120" s="2392"/>
      <c r="H120" s="2391"/>
      <c r="I120" s="2392"/>
      <c r="J120" s="2391"/>
      <c r="K120" s="2391"/>
      <c r="L120" s="2392"/>
      <c r="M120" s="2391"/>
      <c r="N120" s="2391"/>
      <c r="O120" s="2392"/>
      <c r="P120" s="2391"/>
      <c r="Q120" s="2391"/>
      <c r="R120" s="2393"/>
    </row>
    <row r="121" spans="2:18" s="2365" customFormat="1">
      <c r="B121" s="2391"/>
      <c r="C121" s="2391"/>
      <c r="D121" s="2391"/>
      <c r="E121" s="2391"/>
      <c r="F121" s="2391"/>
      <c r="G121" s="2392"/>
      <c r="H121" s="2391"/>
      <c r="I121" s="2392"/>
      <c r="J121" s="2391"/>
      <c r="K121" s="2391"/>
      <c r="L121" s="2392"/>
      <c r="M121" s="2391"/>
      <c r="N121" s="2391"/>
      <c r="O121" s="2392"/>
      <c r="P121" s="2391"/>
      <c r="Q121" s="2391"/>
      <c r="R121" s="2393"/>
    </row>
    <row r="122" spans="2:18" s="2365" customFormat="1">
      <c r="B122" s="2391"/>
      <c r="C122" s="2391"/>
      <c r="D122" s="2391"/>
      <c r="E122" s="2391"/>
      <c r="F122" s="2391"/>
      <c r="G122" s="2392"/>
      <c r="H122" s="2391"/>
      <c r="I122" s="2392"/>
      <c r="J122" s="2391"/>
      <c r="K122" s="2391"/>
      <c r="L122" s="2392"/>
      <c r="M122" s="2391"/>
      <c r="N122" s="2391"/>
      <c r="O122" s="2392"/>
      <c r="P122" s="2391"/>
      <c r="Q122" s="2391"/>
      <c r="R122" s="2393"/>
    </row>
    <row r="123" spans="2:18" s="2365" customFormat="1">
      <c r="B123" s="2391"/>
      <c r="C123" s="2391"/>
      <c r="D123" s="2391"/>
      <c r="E123" s="2391"/>
      <c r="F123" s="2391"/>
      <c r="G123" s="2392"/>
      <c r="H123" s="2391"/>
      <c r="I123" s="2392"/>
      <c r="J123" s="2391"/>
      <c r="K123" s="2391"/>
      <c r="L123" s="2392"/>
      <c r="M123" s="2391"/>
      <c r="N123" s="2391"/>
      <c r="O123" s="2392"/>
      <c r="P123" s="2391"/>
      <c r="Q123" s="2391"/>
      <c r="R123" s="2393"/>
    </row>
    <row r="124" spans="2:18" s="2365" customFormat="1">
      <c r="B124" s="2391"/>
      <c r="C124" s="2391"/>
      <c r="D124" s="2391"/>
      <c r="E124" s="2391"/>
      <c r="F124" s="2391"/>
      <c r="G124" s="2392"/>
      <c r="H124" s="2391"/>
      <c r="I124" s="2392"/>
      <c r="J124" s="2391"/>
      <c r="K124" s="2391"/>
      <c r="L124" s="2392"/>
      <c r="M124" s="2391"/>
      <c r="N124" s="2391"/>
      <c r="O124" s="2392"/>
      <c r="P124" s="2391"/>
      <c r="Q124" s="2391"/>
      <c r="R124" s="2393"/>
    </row>
    <row r="125" spans="2:18" s="2365" customFormat="1">
      <c r="B125" s="2391"/>
      <c r="C125" s="2391"/>
      <c r="D125" s="2391"/>
      <c r="E125" s="2391"/>
      <c r="F125" s="2391"/>
      <c r="G125" s="2392"/>
      <c r="H125" s="2391"/>
      <c r="I125" s="2392"/>
      <c r="J125" s="2391"/>
      <c r="K125" s="2391"/>
      <c r="L125" s="2392"/>
      <c r="M125" s="2391"/>
      <c r="N125" s="2391"/>
      <c r="O125" s="2392"/>
      <c r="P125" s="2391"/>
      <c r="Q125" s="2391"/>
      <c r="R125" s="2393"/>
    </row>
    <row r="126" spans="2:18" s="2365" customFormat="1">
      <c r="B126" s="2391"/>
      <c r="C126" s="2391"/>
      <c r="D126" s="2391"/>
      <c r="E126" s="2391"/>
      <c r="F126" s="2391"/>
      <c r="G126" s="2392"/>
      <c r="H126" s="2391"/>
      <c r="I126" s="2392"/>
      <c r="J126" s="2391"/>
      <c r="K126" s="2391"/>
      <c r="L126" s="2392"/>
      <c r="M126" s="2391"/>
      <c r="N126" s="2391"/>
      <c r="O126" s="2392"/>
      <c r="P126" s="2391"/>
      <c r="Q126" s="2391"/>
      <c r="R126" s="2393"/>
    </row>
    <row r="127" spans="2:18" s="2365" customFormat="1">
      <c r="B127" s="2391"/>
      <c r="C127" s="2391"/>
      <c r="D127" s="2391"/>
      <c r="E127" s="2391"/>
      <c r="F127" s="2391"/>
      <c r="G127" s="2392"/>
      <c r="H127" s="2391"/>
      <c r="I127" s="2392"/>
      <c r="J127" s="2391"/>
      <c r="K127" s="2391"/>
      <c r="L127" s="2392"/>
      <c r="M127" s="2391"/>
      <c r="N127" s="2391"/>
      <c r="O127" s="2392"/>
      <c r="P127" s="2391"/>
      <c r="Q127" s="2391"/>
      <c r="R127" s="2393"/>
    </row>
    <row r="128" spans="2:18" s="2365" customFormat="1">
      <c r="B128" s="2391"/>
      <c r="C128" s="2391"/>
      <c r="D128" s="2391"/>
      <c r="E128" s="2391"/>
      <c r="F128" s="2391"/>
      <c r="G128" s="2392"/>
      <c r="H128" s="2391"/>
      <c r="I128" s="2392"/>
      <c r="J128" s="2391"/>
      <c r="K128" s="2391"/>
      <c r="L128" s="2392"/>
      <c r="M128" s="2391"/>
      <c r="N128" s="2391"/>
      <c r="O128" s="2392"/>
      <c r="P128" s="2391"/>
      <c r="Q128" s="2391"/>
      <c r="R128" s="2393"/>
    </row>
    <row r="129" spans="2:18" s="2365" customFormat="1">
      <c r="B129" s="2391"/>
      <c r="C129" s="2391"/>
      <c r="D129" s="2391"/>
      <c r="E129" s="2391"/>
      <c r="F129" s="2391"/>
      <c r="G129" s="2392"/>
      <c r="H129" s="2391"/>
      <c r="I129" s="2392"/>
      <c r="J129" s="2391"/>
      <c r="K129" s="2391"/>
      <c r="L129" s="2392"/>
      <c r="M129" s="2391"/>
      <c r="N129" s="2391"/>
      <c r="O129" s="2392"/>
      <c r="P129" s="2391"/>
      <c r="Q129" s="2391"/>
      <c r="R129" s="2393"/>
    </row>
    <row r="130" spans="2:18" s="2365" customFormat="1">
      <c r="B130" s="2391"/>
      <c r="C130" s="2391"/>
      <c r="D130" s="2391"/>
      <c r="E130" s="2391"/>
      <c r="F130" s="2391"/>
      <c r="G130" s="2392"/>
      <c r="H130" s="2391"/>
      <c r="I130" s="2392"/>
      <c r="J130" s="2391"/>
      <c r="K130" s="2391"/>
      <c r="L130" s="2392"/>
      <c r="M130" s="2391"/>
      <c r="N130" s="2391"/>
      <c r="O130" s="2392"/>
      <c r="P130" s="2391"/>
      <c r="Q130" s="2391"/>
      <c r="R130" s="2393"/>
    </row>
    <row r="131" spans="2:18" s="2365" customFormat="1">
      <c r="B131" s="2391"/>
      <c r="C131" s="2391"/>
      <c r="D131" s="2391"/>
      <c r="E131" s="2391"/>
      <c r="F131" s="2391"/>
      <c r="G131" s="2392"/>
      <c r="H131" s="2391"/>
      <c r="I131" s="2392"/>
      <c r="J131" s="2391"/>
      <c r="K131" s="2391"/>
      <c r="L131" s="2392"/>
      <c r="M131" s="2391"/>
      <c r="N131" s="2391"/>
      <c r="O131" s="2392"/>
      <c r="P131" s="2391"/>
      <c r="Q131" s="2391"/>
      <c r="R131" s="2393"/>
    </row>
    <row r="132" spans="2:18" s="2365" customFormat="1">
      <c r="B132" s="2391"/>
      <c r="C132" s="2391"/>
      <c r="D132" s="2391"/>
      <c r="E132" s="2391"/>
      <c r="F132" s="2391"/>
      <c r="G132" s="2392"/>
      <c r="H132" s="2391"/>
      <c r="I132" s="2392"/>
      <c r="J132" s="2391"/>
      <c r="K132" s="2391"/>
      <c r="L132" s="2392"/>
      <c r="M132" s="2391"/>
      <c r="N132" s="2391"/>
      <c r="O132" s="2392"/>
      <c r="P132" s="2391"/>
      <c r="Q132" s="2391"/>
      <c r="R132" s="2393"/>
    </row>
    <row r="133" spans="2:18" s="2365" customFormat="1">
      <c r="B133" s="2391"/>
      <c r="C133" s="2391"/>
      <c r="D133" s="2391"/>
      <c r="E133" s="2391"/>
      <c r="F133" s="2391"/>
      <c r="G133" s="2392"/>
      <c r="H133" s="2391"/>
      <c r="I133" s="2392"/>
      <c r="J133" s="2391"/>
      <c r="K133" s="2391"/>
      <c r="L133" s="2392"/>
      <c r="M133" s="2391"/>
      <c r="N133" s="2391"/>
      <c r="O133" s="2392"/>
      <c r="P133" s="2391"/>
      <c r="Q133" s="2391"/>
      <c r="R133" s="2393"/>
    </row>
    <row r="134" spans="2:18" s="2365" customFormat="1">
      <c r="B134" s="2391"/>
      <c r="C134" s="2391"/>
      <c r="D134" s="2391"/>
      <c r="E134" s="2391"/>
      <c r="F134" s="2391"/>
      <c r="G134" s="2392"/>
      <c r="H134" s="2391"/>
      <c r="I134" s="2392"/>
      <c r="J134" s="2391"/>
      <c r="K134" s="2391"/>
      <c r="L134" s="2392"/>
      <c r="M134" s="2391"/>
      <c r="N134" s="2391"/>
      <c r="O134" s="2392"/>
      <c r="P134" s="2391"/>
      <c r="Q134" s="2391"/>
      <c r="R134" s="2393"/>
    </row>
    <row r="135" spans="2:18" s="2365" customFormat="1">
      <c r="B135" s="2391"/>
      <c r="C135" s="2391"/>
      <c r="D135" s="2391"/>
      <c r="E135" s="2391"/>
      <c r="F135" s="2391"/>
      <c r="G135" s="2392"/>
      <c r="H135" s="2391"/>
      <c r="I135" s="2392"/>
      <c r="J135" s="2391"/>
      <c r="K135" s="2391"/>
      <c r="L135" s="2392"/>
      <c r="M135" s="2391"/>
      <c r="N135" s="2391"/>
      <c r="O135" s="2392"/>
      <c r="P135" s="2391"/>
      <c r="Q135" s="2391"/>
      <c r="R135" s="2393"/>
    </row>
    <row r="136" spans="2:18" s="2365" customFormat="1">
      <c r="B136" s="2391"/>
      <c r="C136" s="2391"/>
      <c r="D136" s="2391"/>
      <c r="E136" s="2391"/>
      <c r="F136" s="2391"/>
      <c r="G136" s="2392"/>
      <c r="H136" s="2391"/>
      <c r="I136" s="2392"/>
      <c r="J136" s="2391"/>
      <c r="K136" s="2391"/>
      <c r="L136" s="2392"/>
      <c r="M136" s="2391"/>
      <c r="N136" s="2391"/>
      <c r="O136" s="2392"/>
      <c r="P136" s="2391"/>
      <c r="Q136" s="2391"/>
      <c r="R136" s="2393"/>
    </row>
    <row r="137" spans="2:18" s="2365" customFormat="1">
      <c r="B137" s="2391"/>
      <c r="C137" s="2391"/>
      <c r="D137" s="2391"/>
      <c r="E137" s="2391"/>
      <c r="F137" s="2391"/>
      <c r="G137" s="2392"/>
      <c r="H137" s="2391"/>
      <c r="I137" s="2392"/>
      <c r="J137" s="2391"/>
      <c r="K137" s="2391"/>
      <c r="L137" s="2392"/>
      <c r="M137" s="2391"/>
      <c r="N137" s="2391"/>
      <c r="O137" s="2392"/>
      <c r="P137" s="2391"/>
      <c r="Q137" s="2391"/>
      <c r="R137" s="2393"/>
    </row>
    <row r="138" spans="2:18" s="2365" customFormat="1">
      <c r="B138" s="2391"/>
      <c r="C138" s="2391"/>
      <c r="D138" s="2391"/>
      <c r="E138" s="2391"/>
      <c r="F138" s="2391"/>
      <c r="G138" s="2392"/>
      <c r="H138" s="2391"/>
      <c r="I138" s="2392"/>
      <c r="J138" s="2391"/>
      <c r="K138" s="2391"/>
      <c r="L138" s="2392"/>
      <c r="M138" s="2391"/>
      <c r="N138" s="2391"/>
      <c r="O138" s="2392"/>
      <c r="P138" s="2391"/>
      <c r="Q138" s="2391"/>
      <c r="R138" s="2393"/>
    </row>
    <row r="139" spans="2:18" s="2365" customFormat="1">
      <c r="B139" s="2391"/>
      <c r="C139" s="2391"/>
      <c r="D139" s="2391"/>
      <c r="E139" s="2391"/>
      <c r="F139" s="2391"/>
      <c r="G139" s="2392"/>
      <c r="H139" s="2391"/>
      <c r="I139" s="2392"/>
      <c r="J139" s="2391"/>
      <c r="K139" s="2391"/>
      <c r="L139" s="2392"/>
      <c r="M139" s="2391"/>
      <c r="N139" s="2391"/>
      <c r="O139" s="2392"/>
      <c r="P139" s="2391"/>
      <c r="Q139" s="2391"/>
      <c r="R139" s="2393"/>
    </row>
    <row r="140" spans="2:18" s="2365" customFormat="1">
      <c r="B140" s="2391"/>
      <c r="C140" s="2391"/>
      <c r="D140" s="2391"/>
      <c r="E140" s="2391"/>
      <c r="F140" s="2391"/>
      <c r="G140" s="2392"/>
      <c r="H140" s="2391"/>
      <c r="I140" s="2392"/>
      <c r="J140" s="2391"/>
      <c r="K140" s="2391"/>
      <c r="L140" s="2392"/>
      <c r="M140" s="2391"/>
      <c r="N140" s="2391"/>
      <c r="O140" s="2392"/>
      <c r="P140" s="2391"/>
      <c r="Q140" s="2391"/>
      <c r="R140" s="2393"/>
    </row>
    <row r="141" spans="2:18" s="2365" customFormat="1">
      <c r="B141" s="2391"/>
      <c r="C141" s="2391"/>
      <c r="D141" s="2391"/>
      <c r="E141" s="2391"/>
      <c r="F141" s="2391"/>
      <c r="G141" s="2392"/>
      <c r="H141" s="2391"/>
      <c r="I141" s="2392"/>
      <c r="J141" s="2391"/>
      <c r="K141" s="2391"/>
      <c r="L141" s="2392"/>
      <c r="M141" s="2391"/>
      <c r="N141" s="2391"/>
      <c r="O141" s="2392"/>
      <c r="P141" s="2391"/>
      <c r="Q141" s="2391"/>
      <c r="R141" s="2393"/>
    </row>
    <row r="142" spans="2:18" s="2365" customFormat="1">
      <c r="B142" s="2391"/>
      <c r="C142" s="2391"/>
      <c r="D142" s="2391"/>
      <c r="E142" s="2391"/>
      <c r="F142" s="2391"/>
      <c r="G142" s="2392"/>
      <c r="H142" s="2391"/>
      <c r="I142" s="2392"/>
      <c r="J142" s="2391"/>
      <c r="K142" s="2391"/>
      <c r="L142" s="2392"/>
      <c r="M142" s="2391"/>
      <c r="N142" s="2391"/>
      <c r="O142" s="2392"/>
      <c r="P142" s="2391"/>
      <c r="Q142" s="2391"/>
      <c r="R142" s="2393"/>
    </row>
    <row r="143" spans="2:18" s="2365" customFormat="1">
      <c r="B143" s="2391"/>
      <c r="C143" s="2391"/>
      <c r="D143" s="2391"/>
      <c r="E143" s="2391"/>
      <c r="F143" s="2391"/>
      <c r="G143" s="2392"/>
      <c r="H143" s="2391"/>
      <c r="I143" s="2392"/>
      <c r="J143" s="2391"/>
      <c r="K143" s="2391"/>
      <c r="L143" s="2392"/>
      <c r="M143" s="2391"/>
      <c r="N143" s="2391"/>
      <c r="O143" s="2392"/>
      <c r="P143" s="2391"/>
      <c r="Q143" s="2391"/>
      <c r="R143" s="2393"/>
    </row>
    <row r="144" spans="2:18" s="2365" customFormat="1">
      <c r="B144" s="2391"/>
      <c r="C144" s="2391"/>
      <c r="D144" s="2391"/>
      <c r="E144" s="2391"/>
      <c r="F144" s="2391"/>
      <c r="G144" s="2392"/>
      <c r="H144" s="2391"/>
      <c r="I144" s="2392"/>
      <c r="J144" s="2391"/>
      <c r="K144" s="2391"/>
      <c r="L144" s="2392"/>
      <c r="M144" s="2391"/>
      <c r="N144" s="2391"/>
      <c r="O144" s="2392"/>
      <c r="P144" s="2391"/>
      <c r="Q144" s="2391"/>
      <c r="R144" s="2393"/>
    </row>
    <row r="145" spans="2:18" s="2365" customFormat="1">
      <c r="B145" s="2391"/>
      <c r="C145" s="2391"/>
      <c r="D145" s="2391"/>
      <c r="E145" s="2391"/>
      <c r="F145" s="2391"/>
      <c r="G145" s="2392"/>
      <c r="H145" s="2391"/>
      <c r="I145" s="2392"/>
      <c r="J145" s="2391"/>
      <c r="K145" s="2391"/>
      <c r="L145" s="2392"/>
      <c r="M145" s="2391"/>
      <c r="N145" s="2391"/>
      <c r="O145" s="2392"/>
      <c r="P145" s="2391"/>
      <c r="Q145" s="2391"/>
      <c r="R145" s="2393"/>
    </row>
    <row r="146" spans="2:18" s="2365" customFormat="1">
      <c r="B146" s="2391"/>
      <c r="C146" s="2391"/>
      <c r="D146" s="2391"/>
      <c r="E146" s="2391"/>
      <c r="F146" s="2391"/>
      <c r="G146" s="2392"/>
      <c r="H146" s="2391"/>
      <c r="I146" s="2392"/>
      <c r="J146" s="2391"/>
      <c r="K146" s="2391"/>
      <c r="L146" s="2392"/>
      <c r="M146" s="2391"/>
      <c r="N146" s="2391"/>
      <c r="O146" s="2392"/>
      <c r="P146" s="2391"/>
      <c r="Q146" s="2391"/>
      <c r="R146" s="2393"/>
    </row>
    <row r="147" spans="2:18" s="2365" customFormat="1">
      <c r="B147" s="2391"/>
      <c r="C147" s="2391"/>
      <c r="D147" s="2391"/>
      <c r="E147" s="2391"/>
      <c r="F147" s="2391"/>
      <c r="G147" s="2392"/>
      <c r="H147" s="2391"/>
      <c r="I147" s="2392"/>
      <c r="J147" s="2391"/>
      <c r="K147" s="2391"/>
      <c r="L147" s="2392"/>
      <c r="M147" s="2391"/>
      <c r="N147" s="2391"/>
      <c r="O147" s="2392"/>
      <c r="P147" s="2391"/>
      <c r="Q147" s="2391"/>
      <c r="R147" s="2393"/>
    </row>
    <row r="148" spans="2:18" s="2365" customFormat="1">
      <c r="B148" s="2391"/>
      <c r="C148" s="2391"/>
      <c r="D148" s="2391"/>
      <c r="E148" s="2391"/>
      <c r="F148" s="2391"/>
      <c r="G148" s="2392"/>
      <c r="H148" s="2391"/>
      <c r="I148" s="2392"/>
      <c r="J148" s="2391"/>
      <c r="K148" s="2391"/>
      <c r="L148" s="2392"/>
      <c r="M148" s="2391"/>
      <c r="N148" s="2391"/>
      <c r="O148" s="2392"/>
      <c r="P148" s="2391"/>
      <c r="Q148" s="2391"/>
      <c r="R148" s="2393"/>
    </row>
    <row r="149" spans="2:18" s="2365" customFormat="1">
      <c r="B149" s="2391"/>
      <c r="C149" s="2391"/>
      <c r="D149" s="2391"/>
      <c r="E149" s="2391"/>
      <c r="F149" s="2391"/>
      <c r="G149" s="2392"/>
      <c r="H149" s="2391"/>
      <c r="I149" s="2392"/>
      <c r="J149" s="2391"/>
      <c r="K149" s="2391"/>
      <c r="L149" s="2392"/>
      <c r="M149" s="2391"/>
      <c r="N149" s="2391"/>
      <c r="O149" s="2392"/>
      <c r="P149" s="2391"/>
      <c r="Q149" s="2391"/>
      <c r="R149" s="2393"/>
    </row>
    <row r="150" spans="2:18" s="2365" customFormat="1">
      <c r="B150" s="2391"/>
      <c r="C150" s="2391"/>
      <c r="D150" s="2391"/>
      <c r="E150" s="2391"/>
      <c r="F150" s="2391"/>
      <c r="G150" s="2392"/>
      <c r="H150" s="2391"/>
      <c r="I150" s="2392"/>
      <c r="J150" s="2391"/>
      <c r="K150" s="2391"/>
      <c r="L150" s="2392"/>
      <c r="M150" s="2391"/>
      <c r="N150" s="2391"/>
      <c r="O150" s="2392"/>
      <c r="P150" s="2391"/>
      <c r="Q150" s="2391"/>
      <c r="R150" s="2393"/>
    </row>
    <row r="151" spans="2:18" s="2365" customFormat="1">
      <c r="B151" s="2391"/>
      <c r="C151" s="2391"/>
      <c r="D151" s="2391"/>
      <c r="E151" s="2391"/>
      <c r="F151" s="2391"/>
      <c r="G151" s="2392"/>
      <c r="H151" s="2391"/>
      <c r="I151" s="2392"/>
      <c r="J151" s="2391"/>
      <c r="K151" s="2391"/>
      <c r="L151" s="2392"/>
      <c r="M151" s="2391"/>
      <c r="N151" s="2391"/>
      <c r="O151" s="2392"/>
      <c r="P151" s="2391"/>
      <c r="Q151" s="2391"/>
      <c r="R151" s="2393"/>
    </row>
    <row r="152" spans="2:18" s="2365" customFormat="1">
      <c r="B152" s="2391"/>
      <c r="C152" s="2391"/>
      <c r="D152" s="2391"/>
      <c r="E152" s="2391"/>
      <c r="F152" s="2391"/>
      <c r="G152" s="2392"/>
      <c r="H152" s="2391"/>
      <c r="I152" s="2392"/>
      <c r="J152" s="2391"/>
      <c r="K152" s="2391"/>
      <c r="L152" s="2392"/>
      <c r="M152" s="2391"/>
      <c r="N152" s="2391"/>
      <c r="O152" s="2392"/>
      <c r="P152" s="2391"/>
      <c r="Q152" s="2391"/>
      <c r="R152" s="2393"/>
    </row>
    <row r="153" spans="2:18" s="2365" customFormat="1">
      <c r="B153" s="2391"/>
      <c r="C153" s="2391"/>
      <c r="D153" s="2391"/>
      <c r="E153" s="2391"/>
      <c r="F153" s="2391"/>
      <c r="G153" s="2392"/>
      <c r="H153" s="2391"/>
      <c r="I153" s="2392"/>
      <c r="J153" s="2391"/>
      <c r="K153" s="2391"/>
      <c r="L153" s="2392"/>
      <c r="M153" s="2391"/>
      <c r="N153" s="2391"/>
      <c r="O153" s="2392"/>
      <c r="P153" s="2391"/>
      <c r="Q153" s="2391"/>
      <c r="R153" s="2393"/>
    </row>
    <row r="154" spans="2:18" s="2365" customFormat="1">
      <c r="B154" s="2391"/>
      <c r="C154" s="2391"/>
      <c r="D154" s="2391"/>
      <c r="E154" s="2391"/>
      <c r="F154" s="2391"/>
      <c r="G154" s="2392"/>
      <c r="H154" s="2391"/>
      <c r="I154" s="2392"/>
      <c r="J154" s="2391"/>
      <c r="K154" s="2391"/>
      <c r="L154" s="2392"/>
      <c r="M154" s="2391"/>
      <c r="N154" s="2391"/>
      <c r="O154" s="2392"/>
      <c r="P154" s="2391"/>
      <c r="Q154" s="2391"/>
      <c r="R154" s="2393"/>
    </row>
    <row r="155" spans="2:18" s="2365" customFormat="1">
      <c r="B155" s="2391"/>
      <c r="C155" s="2391"/>
      <c r="D155" s="2391"/>
      <c r="E155" s="2391"/>
      <c r="F155" s="2391"/>
      <c r="G155" s="2392"/>
      <c r="H155" s="2391"/>
      <c r="I155" s="2392"/>
      <c r="J155" s="2391"/>
      <c r="K155" s="2391"/>
      <c r="L155" s="2392"/>
      <c r="M155" s="2391"/>
      <c r="N155" s="2391"/>
      <c r="O155" s="2392"/>
      <c r="P155" s="2391"/>
      <c r="Q155" s="2391"/>
      <c r="R155" s="2393"/>
    </row>
    <row r="156" spans="2:18" s="2365" customFormat="1">
      <c r="B156" s="2391"/>
      <c r="C156" s="2391"/>
      <c r="D156" s="2391"/>
      <c r="E156" s="2391"/>
      <c r="F156" s="2391"/>
      <c r="G156" s="2392"/>
      <c r="H156" s="2391"/>
      <c r="I156" s="2392"/>
      <c r="J156" s="2391"/>
      <c r="K156" s="2391"/>
      <c r="L156" s="2392"/>
      <c r="M156" s="2391"/>
      <c r="N156" s="2391"/>
      <c r="O156" s="2392"/>
      <c r="P156" s="2391"/>
      <c r="Q156" s="2391"/>
      <c r="R156" s="2393"/>
    </row>
    <row r="157" spans="2:18" s="2365" customFormat="1">
      <c r="B157" s="2391"/>
      <c r="C157" s="2391"/>
      <c r="D157" s="2391"/>
      <c r="E157" s="2391"/>
      <c r="F157" s="2391"/>
      <c r="G157" s="2392"/>
      <c r="H157" s="2391"/>
      <c r="I157" s="2392"/>
      <c r="J157" s="2391"/>
      <c r="K157" s="2391"/>
      <c r="L157" s="2392"/>
      <c r="M157" s="2391"/>
      <c r="N157" s="2391"/>
      <c r="O157" s="2392"/>
      <c r="P157" s="2391"/>
      <c r="Q157" s="2391"/>
      <c r="R157" s="2393"/>
    </row>
    <row r="158" spans="2:18" s="2365" customFormat="1">
      <c r="B158" s="2391"/>
      <c r="C158" s="2391"/>
      <c r="D158" s="2391"/>
      <c r="E158" s="2391"/>
      <c r="F158" s="2391"/>
      <c r="G158" s="2392"/>
      <c r="H158" s="2391"/>
      <c r="I158" s="2392"/>
      <c r="J158" s="2391"/>
      <c r="K158" s="2391"/>
      <c r="L158" s="2392"/>
      <c r="M158" s="2391"/>
      <c r="N158" s="2391"/>
      <c r="O158" s="2392"/>
      <c r="P158" s="2391"/>
      <c r="Q158" s="2391"/>
      <c r="R158" s="2393"/>
    </row>
    <row r="159" spans="2:18" s="2365" customFormat="1">
      <c r="B159" s="2391"/>
      <c r="C159" s="2391"/>
      <c r="D159" s="2391"/>
      <c r="E159" s="2391"/>
      <c r="F159" s="2391"/>
      <c r="G159" s="2392"/>
      <c r="H159" s="2391"/>
      <c r="I159" s="2392"/>
      <c r="J159" s="2391"/>
      <c r="K159" s="2391"/>
      <c r="L159" s="2392"/>
      <c r="M159" s="2391"/>
      <c r="N159" s="2391"/>
      <c r="O159" s="2392"/>
      <c r="P159" s="2391"/>
      <c r="Q159" s="2391"/>
      <c r="R159" s="2393"/>
    </row>
    <row r="160" spans="2:18" s="2365" customFormat="1">
      <c r="B160" s="2391"/>
      <c r="C160" s="2391"/>
      <c r="D160" s="2391"/>
      <c r="E160" s="2391"/>
      <c r="F160" s="2391"/>
      <c r="G160" s="2392"/>
      <c r="H160" s="2391"/>
      <c r="I160" s="2392"/>
      <c r="J160" s="2391"/>
      <c r="K160" s="2391"/>
      <c r="L160" s="2392"/>
      <c r="M160" s="2391"/>
      <c r="N160" s="2391"/>
      <c r="O160" s="2392"/>
      <c r="P160" s="2391"/>
      <c r="Q160" s="2391"/>
      <c r="R160" s="2393"/>
    </row>
    <row r="161" spans="2:18" s="2365" customFormat="1">
      <c r="B161" s="2391"/>
      <c r="C161" s="2391"/>
      <c r="D161" s="2391"/>
      <c r="E161" s="2391"/>
      <c r="F161" s="2391"/>
      <c r="G161" s="2392"/>
      <c r="H161" s="2391"/>
      <c r="I161" s="2392"/>
      <c r="J161" s="2391"/>
      <c r="K161" s="2391"/>
      <c r="L161" s="2392"/>
      <c r="M161" s="2391"/>
      <c r="N161" s="2391"/>
      <c r="O161" s="2392"/>
      <c r="P161" s="2391"/>
      <c r="Q161" s="2391"/>
      <c r="R161" s="2393"/>
    </row>
    <row r="162" spans="2:18" s="2365" customFormat="1">
      <c r="B162" s="2391"/>
      <c r="C162" s="2391"/>
      <c r="D162" s="2391"/>
      <c r="E162" s="2391"/>
      <c r="F162" s="2391"/>
      <c r="G162" s="2392"/>
      <c r="H162" s="2391"/>
      <c r="I162" s="2392"/>
      <c r="J162" s="2391"/>
      <c r="K162" s="2391"/>
      <c r="L162" s="2392"/>
      <c r="M162" s="2391"/>
      <c r="N162" s="2391"/>
      <c r="O162" s="2392"/>
      <c r="P162" s="2391"/>
      <c r="Q162" s="2391"/>
      <c r="R162" s="2393"/>
    </row>
    <row r="163" spans="2:18" s="2365" customFormat="1">
      <c r="B163" s="2391"/>
      <c r="C163" s="2391"/>
      <c r="D163" s="2391"/>
      <c r="E163" s="2391"/>
      <c r="F163" s="2391"/>
      <c r="G163" s="2392"/>
      <c r="H163" s="2391"/>
      <c r="I163" s="2392"/>
      <c r="J163" s="2391"/>
      <c r="K163" s="2391"/>
      <c r="L163" s="2392"/>
      <c r="M163" s="2391"/>
      <c r="N163" s="2391"/>
      <c r="O163" s="2392"/>
      <c r="P163" s="2391"/>
      <c r="Q163" s="2391"/>
      <c r="R163" s="2393"/>
    </row>
    <row r="164" spans="2:18" s="2365" customFormat="1">
      <c r="B164" s="2391"/>
      <c r="C164" s="2391"/>
      <c r="D164" s="2391"/>
      <c r="E164" s="2391"/>
      <c r="F164" s="2391"/>
      <c r="G164" s="2392"/>
      <c r="H164" s="2391"/>
      <c r="I164" s="2392"/>
      <c r="J164" s="2391"/>
      <c r="K164" s="2391"/>
      <c r="L164" s="2392"/>
      <c r="M164" s="2391"/>
      <c r="N164" s="2391"/>
      <c r="O164" s="2392"/>
      <c r="P164" s="2391"/>
      <c r="Q164" s="2391"/>
      <c r="R164" s="2393"/>
    </row>
    <row r="165" spans="2:18" s="2365" customFormat="1">
      <c r="B165" s="2391"/>
      <c r="C165" s="2391"/>
      <c r="D165" s="2391"/>
      <c r="E165" s="2391"/>
      <c r="F165" s="2391"/>
      <c r="G165" s="2392"/>
      <c r="H165" s="2391"/>
      <c r="I165" s="2392"/>
      <c r="J165" s="2391"/>
      <c r="K165" s="2391"/>
      <c r="L165" s="2392"/>
      <c r="M165" s="2391"/>
      <c r="N165" s="2391"/>
      <c r="O165" s="2392"/>
      <c r="P165" s="2391"/>
      <c r="Q165" s="2391"/>
      <c r="R165" s="2393"/>
    </row>
    <row r="166" spans="2:18" s="2365" customFormat="1">
      <c r="B166" s="2391"/>
      <c r="C166" s="2391"/>
      <c r="D166" s="2391"/>
      <c r="E166" s="2391"/>
      <c r="F166" s="2391"/>
      <c r="G166" s="2392"/>
      <c r="H166" s="2391"/>
      <c r="I166" s="2392"/>
      <c r="J166" s="2391"/>
      <c r="K166" s="2391"/>
      <c r="L166" s="2392"/>
      <c r="M166" s="2391"/>
      <c r="N166" s="2391"/>
      <c r="O166" s="2392"/>
      <c r="P166" s="2391"/>
      <c r="Q166" s="2391"/>
      <c r="R166" s="2393"/>
    </row>
    <row r="167" spans="2:18" s="2365" customFormat="1">
      <c r="B167" s="2391"/>
      <c r="C167" s="2391"/>
      <c r="D167" s="2391"/>
      <c r="E167" s="2391"/>
      <c r="F167" s="2391"/>
      <c r="G167" s="2392"/>
      <c r="H167" s="2391"/>
      <c r="I167" s="2392"/>
      <c r="J167" s="2391"/>
      <c r="K167" s="2391"/>
      <c r="L167" s="2392"/>
      <c r="M167" s="2391"/>
      <c r="N167" s="2391"/>
      <c r="O167" s="2392"/>
      <c r="P167" s="2391"/>
      <c r="Q167" s="2391"/>
      <c r="R167" s="2393"/>
    </row>
    <row r="168" spans="2:18" s="2365" customFormat="1">
      <c r="B168" s="2391"/>
      <c r="C168" s="2391"/>
      <c r="D168" s="2391"/>
      <c r="E168" s="2391"/>
      <c r="F168" s="2391"/>
      <c r="G168" s="2392"/>
      <c r="H168" s="2391"/>
      <c r="I168" s="2392"/>
      <c r="J168" s="2391"/>
      <c r="K168" s="2391"/>
      <c r="L168" s="2392"/>
      <c r="M168" s="2391"/>
      <c r="N168" s="2391"/>
      <c r="O168" s="2392"/>
      <c r="P168" s="2391"/>
      <c r="Q168" s="2391"/>
      <c r="R168" s="2393"/>
    </row>
    <row r="169" spans="2:18" s="2365" customFormat="1">
      <c r="B169" s="2391"/>
      <c r="C169" s="2391"/>
      <c r="D169" s="2391"/>
      <c r="E169" s="2391"/>
      <c r="F169" s="2391"/>
      <c r="G169" s="2392"/>
      <c r="H169" s="2391"/>
      <c r="I169" s="2392"/>
      <c r="J169" s="2391"/>
      <c r="K169" s="2391"/>
      <c r="L169" s="2392"/>
      <c r="M169" s="2391"/>
      <c r="N169" s="2391"/>
      <c r="O169" s="2392"/>
      <c r="P169" s="2391"/>
      <c r="Q169" s="2391"/>
      <c r="R169" s="2393"/>
    </row>
    <row r="170" spans="2:18" s="2365" customFormat="1">
      <c r="B170" s="2391"/>
      <c r="C170" s="2391"/>
      <c r="D170" s="2391"/>
      <c r="E170" s="2391"/>
      <c r="F170" s="2391"/>
      <c r="G170" s="2392"/>
      <c r="H170" s="2391"/>
      <c r="I170" s="2392"/>
      <c r="J170" s="2391"/>
      <c r="K170" s="2391"/>
      <c r="L170" s="2392"/>
      <c r="M170" s="2391"/>
      <c r="N170" s="2391"/>
      <c r="O170" s="2392"/>
      <c r="P170" s="2391"/>
      <c r="Q170" s="2391"/>
      <c r="R170" s="2393"/>
    </row>
    <row r="171" spans="2:18" s="2365" customFormat="1">
      <c r="B171" s="2391"/>
      <c r="C171" s="2391"/>
      <c r="D171" s="2391"/>
      <c r="E171" s="2391"/>
      <c r="F171" s="2391"/>
      <c r="G171" s="2392"/>
      <c r="H171" s="2391"/>
      <c r="I171" s="2392"/>
      <c r="J171" s="2391"/>
      <c r="K171" s="2391"/>
      <c r="L171" s="2392"/>
      <c r="M171" s="2391"/>
      <c r="N171" s="2391"/>
      <c r="O171" s="2392"/>
      <c r="P171" s="2391"/>
      <c r="Q171" s="2391"/>
      <c r="R171" s="2393"/>
    </row>
    <row r="172" spans="2:18" s="2365" customFormat="1">
      <c r="B172" s="2391"/>
      <c r="C172" s="2391"/>
      <c r="D172" s="2391"/>
      <c r="E172" s="2391"/>
      <c r="F172" s="2391"/>
      <c r="G172" s="2392"/>
      <c r="H172" s="2391"/>
      <c r="I172" s="2392"/>
      <c r="J172" s="2391"/>
      <c r="K172" s="2391"/>
      <c r="L172" s="2392"/>
      <c r="M172" s="2391"/>
      <c r="N172" s="2391"/>
      <c r="O172" s="2392"/>
      <c r="P172" s="2391"/>
      <c r="Q172" s="2391"/>
      <c r="R172" s="2393"/>
    </row>
    <row r="173" spans="2:18" s="2365" customFormat="1">
      <c r="B173" s="2391"/>
      <c r="C173" s="2391"/>
      <c r="D173" s="2391"/>
      <c r="E173" s="2391"/>
      <c r="F173" s="2391"/>
      <c r="G173" s="2392"/>
      <c r="H173" s="2391"/>
      <c r="I173" s="2392"/>
      <c r="J173" s="2391"/>
      <c r="K173" s="2391"/>
      <c r="L173" s="2392"/>
      <c r="M173" s="2391"/>
      <c r="N173" s="2391"/>
      <c r="O173" s="2392"/>
      <c r="P173" s="2391"/>
      <c r="Q173" s="2391"/>
      <c r="R173" s="2393"/>
    </row>
    <row r="174" spans="2:18" s="2365" customFormat="1">
      <c r="B174" s="2391"/>
      <c r="C174" s="2391"/>
      <c r="D174" s="2391"/>
      <c r="E174" s="2391"/>
      <c r="F174" s="2391"/>
      <c r="G174" s="2392"/>
      <c r="H174" s="2391"/>
      <c r="I174" s="2392"/>
      <c r="J174" s="2391"/>
      <c r="K174" s="2391"/>
      <c r="L174" s="2392"/>
      <c r="M174" s="2391"/>
      <c r="N174" s="2391"/>
      <c r="O174" s="2392"/>
      <c r="P174" s="2391"/>
      <c r="Q174" s="2391"/>
      <c r="R174" s="2393"/>
    </row>
    <row r="175" spans="2:18" s="2365" customFormat="1">
      <c r="B175" s="2391"/>
      <c r="C175" s="2391"/>
      <c r="D175" s="2391"/>
      <c r="E175" s="2391"/>
      <c r="F175" s="2391"/>
      <c r="G175" s="2392"/>
      <c r="H175" s="2391"/>
      <c r="I175" s="2392"/>
      <c r="J175" s="2391"/>
      <c r="K175" s="2391"/>
      <c r="L175" s="2392"/>
      <c r="M175" s="2391"/>
      <c r="N175" s="2391"/>
      <c r="O175" s="2392"/>
      <c r="P175" s="2391"/>
      <c r="Q175" s="2391"/>
      <c r="R175" s="2393"/>
    </row>
    <row r="176" spans="2:18" s="2365" customFormat="1">
      <c r="B176" s="2391"/>
      <c r="C176" s="2391"/>
      <c r="D176" s="2391"/>
      <c r="E176" s="2391"/>
      <c r="F176" s="2391"/>
      <c r="G176" s="2392"/>
      <c r="H176" s="2391"/>
      <c r="I176" s="2392"/>
      <c r="J176" s="2391"/>
      <c r="K176" s="2391"/>
      <c r="L176" s="2392"/>
      <c r="M176" s="2391"/>
      <c r="N176" s="2391"/>
      <c r="O176" s="2392"/>
      <c r="P176" s="2391"/>
      <c r="Q176" s="2391"/>
      <c r="R176" s="2393"/>
    </row>
    <row r="177" spans="1:18" s="2365" customFormat="1">
      <c r="B177" s="2391"/>
      <c r="C177" s="2391"/>
      <c r="D177" s="2391"/>
      <c r="E177" s="2391"/>
      <c r="F177" s="2391"/>
      <c r="G177" s="2392"/>
      <c r="H177" s="2391"/>
      <c r="I177" s="2392"/>
      <c r="J177" s="2391"/>
      <c r="K177" s="2391"/>
      <c r="L177" s="2392"/>
      <c r="M177" s="2391"/>
      <c r="N177" s="2391"/>
      <c r="O177" s="2392"/>
      <c r="P177" s="2391"/>
      <c r="Q177" s="2391"/>
      <c r="R177" s="2393"/>
    </row>
    <row r="178" spans="1:18" s="2365" customFormat="1">
      <c r="B178" s="2391"/>
      <c r="C178" s="2391"/>
      <c r="D178" s="2391"/>
      <c r="E178" s="2391"/>
      <c r="F178" s="2391"/>
      <c r="G178" s="2392"/>
      <c r="H178" s="2391"/>
      <c r="I178" s="2392"/>
      <c r="J178" s="2391"/>
      <c r="K178" s="2391"/>
      <c r="L178" s="2392"/>
      <c r="M178" s="2391"/>
      <c r="N178" s="2391"/>
      <c r="O178" s="2392"/>
      <c r="P178" s="2391"/>
      <c r="Q178" s="2391"/>
      <c r="R178" s="2393"/>
    </row>
    <row r="179" spans="1:18" s="2365" customFormat="1">
      <c r="B179" s="2391"/>
      <c r="C179" s="2391"/>
      <c r="D179" s="2391"/>
      <c r="E179" s="2391"/>
      <c r="F179" s="2391"/>
      <c r="G179" s="2392"/>
      <c r="H179" s="2391"/>
      <c r="I179" s="2392"/>
      <c r="J179" s="2391"/>
      <c r="K179" s="2391"/>
      <c r="L179" s="2392"/>
      <c r="M179" s="2391"/>
      <c r="N179" s="2391"/>
      <c r="O179" s="2392"/>
      <c r="P179" s="2391"/>
      <c r="Q179" s="2391"/>
      <c r="R179" s="2393"/>
    </row>
    <row r="180" spans="1:18" s="2365" customFormat="1">
      <c r="B180" s="2391"/>
      <c r="C180" s="2391"/>
      <c r="D180" s="2391"/>
      <c r="E180" s="2391"/>
      <c r="F180" s="2391"/>
      <c r="G180" s="2392"/>
      <c r="H180" s="2391"/>
      <c r="I180" s="2392"/>
      <c r="J180" s="2391"/>
      <c r="K180" s="2391"/>
      <c r="L180" s="2392"/>
      <c r="M180" s="2391"/>
      <c r="N180" s="2391"/>
      <c r="O180" s="2392"/>
      <c r="P180" s="2391"/>
      <c r="Q180" s="2391"/>
      <c r="R180" s="2393"/>
    </row>
    <row r="181" spans="1:18" s="2365" customFormat="1">
      <c r="B181" s="2391"/>
      <c r="C181" s="2391"/>
      <c r="D181" s="2391"/>
      <c r="E181" s="2391"/>
      <c r="F181" s="2391"/>
      <c r="G181" s="2392"/>
      <c r="H181" s="2391"/>
      <c r="I181" s="2392"/>
      <c r="J181" s="2391"/>
      <c r="K181" s="2391"/>
      <c r="L181" s="2392"/>
      <c r="M181" s="2391"/>
      <c r="N181" s="2391"/>
      <c r="O181" s="2392"/>
      <c r="P181" s="2391"/>
      <c r="Q181" s="2391"/>
      <c r="R181" s="2393"/>
    </row>
    <row r="182" spans="1:18" s="2365" customFormat="1">
      <c r="B182" s="2391"/>
      <c r="C182" s="2391"/>
      <c r="D182" s="2391"/>
      <c r="E182" s="2391"/>
      <c r="F182" s="2391"/>
      <c r="G182" s="2392"/>
      <c r="H182" s="2391"/>
      <c r="I182" s="2392"/>
      <c r="J182" s="2391"/>
      <c r="K182" s="2391"/>
      <c r="L182" s="2392"/>
      <c r="M182" s="2391"/>
      <c r="N182" s="2391"/>
      <c r="O182" s="2392"/>
      <c r="P182" s="2391"/>
      <c r="Q182" s="2391"/>
      <c r="R182" s="2393"/>
    </row>
    <row r="183" spans="1:18" s="2365" customFormat="1">
      <c r="B183" s="2391"/>
      <c r="C183" s="2391"/>
      <c r="D183" s="2391"/>
      <c r="E183" s="2391"/>
      <c r="F183" s="2391"/>
      <c r="G183" s="2392"/>
      <c r="H183" s="2391"/>
      <c r="I183" s="2392"/>
      <c r="J183" s="2391"/>
      <c r="K183" s="2391"/>
      <c r="L183" s="2392"/>
      <c r="M183" s="2391"/>
      <c r="N183" s="2391"/>
      <c r="O183" s="2392"/>
      <c r="P183" s="2391"/>
      <c r="Q183" s="2391"/>
      <c r="R183" s="2393"/>
    </row>
    <row r="184" spans="1:18" s="2365" customFormat="1">
      <c r="B184" s="2391"/>
      <c r="C184" s="2391"/>
      <c r="D184" s="2391"/>
      <c r="E184" s="2391"/>
      <c r="F184" s="2391"/>
      <c r="G184" s="2392"/>
      <c r="H184" s="2391"/>
      <c r="I184" s="2392"/>
      <c r="J184" s="2391"/>
      <c r="K184" s="2391"/>
      <c r="L184" s="2392"/>
      <c r="M184" s="2391"/>
      <c r="N184" s="2391"/>
      <c r="O184" s="2392"/>
      <c r="P184" s="2391"/>
      <c r="Q184" s="2391"/>
      <c r="R184" s="2393"/>
    </row>
    <row r="185" spans="1:18" s="2365" customFormat="1">
      <c r="B185" s="2391"/>
      <c r="C185" s="2391"/>
      <c r="D185" s="2391"/>
      <c r="E185" s="2391"/>
      <c r="F185" s="2391"/>
      <c r="G185" s="2392"/>
      <c r="H185" s="2391"/>
      <c r="I185" s="2392"/>
      <c r="J185" s="2391"/>
      <c r="K185" s="2391"/>
      <c r="L185" s="2392"/>
      <c r="M185" s="2391"/>
      <c r="N185" s="2391"/>
      <c r="O185" s="2392"/>
      <c r="P185" s="2391"/>
      <c r="Q185" s="2391"/>
      <c r="R185" s="2393"/>
    </row>
    <row r="186" spans="1:18">
      <c r="A186" s="2365"/>
      <c r="B186" s="2391"/>
      <c r="C186" s="2391"/>
      <c r="E186" s="2391"/>
      <c r="F186" s="2391"/>
      <c r="G186" s="2392"/>
    </row>
    <row r="187" spans="1:18">
      <c r="A187" s="2365"/>
      <c r="B187" s="2391"/>
      <c r="C187" s="2391"/>
      <c r="E187" s="2391"/>
      <c r="F187" s="2391"/>
      <c r="G187" s="2392"/>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14" sqref="G14:G15"/>
    </sheetView>
  </sheetViews>
  <sheetFormatPr defaultRowHeight="13.5"/>
  <cols>
    <col min="1" max="1" width="23.375" style="1738" customWidth="1"/>
    <col min="2" max="9" width="15.75" style="1738" customWidth="1"/>
    <col min="10" max="16384" width="9" style="1738"/>
  </cols>
  <sheetData>
    <row r="1" spans="1:10" ht="16.5">
      <c r="A1" s="1743" t="s">
        <v>1365</v>
      </c>
      <c r="B1" s="1743">
        <f>SUM(B14:B23)</f>
        <v>140322.13999999993</v>
      </c>
      <c r="C1" s="1742"/>
      <c r="D1" s="1742"/>
      <c r="E1" s="1742"/>
      <c r="F1" s="1742"/>
      <c r="G1" s="1740"/>
    </row>
    <row r="2" spans="1:10" ht="16.5">
      <c r="A2" s="1743" t="s">
        <v>1353</v>
      </c>
      <c r="B2" s="1743">
        <f>SUM(C14:C23)</f>
        <v>37982.770000000004</v>
      </c>
      <c r="C2" s="1742"/>
      <c r="D2" s="1742"/>
      <c r="E2" s="1742"/>
      <c r="F2" s="1742"/>
      <c r="G2" s="1740"/>
    </row>
    <row r="3" spans="1:10" ht="16.5">
      <c r="A3" s="1743" t="s">
        <v>1362</v>
      </c>
      <c r="B3" s="1744">
        <f>项目基本情况!D3</f>
        <v>43111</v>
      </c>
      <c r="C3" s="1742"/>
      <c r="D3" s="1742"/>
      <c r="E3" s="1742"/>
      <c r="F3" s="1742"/>
      <c r="G3" s="1740"/>
    </row>
    <row r="4" spans="1:10" ht="33">
      <c r="A4" s="1743" t="s">
        <v>1361</v>
      </c>
      <c r="B4" s="1743" t="s">
        <v>1360</v>
      </c>
      <c r="C4" s="1743" t="s">
        <v>1359</v>
      </c>
      <c r="D4" s="1743" t="s">
        <v>1358</v>
      </c>
      <c r="E4" s="1742"/>
      <c r="F4" s="1740"/>
      <c r="G4" s="1740"/>
    </row>
    <row r="5" spans="1:10" ht="16.5">
      <c r="A5" s="1743" t="s">
        <v>1357</v>
      </c>
      <c r="B5" s="1743">
        <f ca="1">SUM(D14:D23)</f>
        <v>281031</v>
      </c>
      <c r="C5" s="1743">
        <f ca="1">ROUND(B5*10000/$B$1,0)</f>
        <v>20028</v>
      </c>
      <c r="D5" s="1743">
        <f ca="1">ROUND(B5*10000/$B$2,0)</f>
        <v>73989</v>
      </c>
      <c r="E5" s="1742"/>
      <c r="F5" s="1740"/>
      <c r="G5" s="1740"/>
    </row>
    <row r="6" spans="1:10" ht="16.5">
      <c r="A6" s="1743" t="s">
        <v>1356</v>
      </c>
      <c r="B6" s="1743">
        <f ca="1">SUM(G14:G23)</f>
        <v>281031</v>
      </c>
      <c r="C6" s="1743">
        <f ca="1">ROUND(B6*10000/$B$1,0)</f>
        <v>20028</v>
      </c>
      <c r="D6" s="1743">
        <f ca="1">ROUND(B6*10000/$B$2,0)</f>
        <v>73989</v>
      </c>
      <c r="E6" s="1742"/>
      <c r="F6" s="1740"/>
      <c r="G6" s="1740"/>
    </row>
    <row r="7" spans="1:10" ht="16.5">
      <c r="A7" s="1743" t="s">
        <v>1364</v>
      </c>
      <c r="B7" s="1743">
        <f>SUM(H14:H23)</f>
        <v>0</v>
      </c>
      <c r="C7" s="1743">
        <f>ROUND(B7*10000/$B$1,0)</f>
        <v>0</v>
      </c>
      <c r="D7" s="1743">
        <f>ROUND(B7*10000/$B$2,0)</f>
        <v>0</v>
      </c>
      <c r="E7" s="1742"/>
      <c r="F7" s="1740"/>
      <c r="G7" s="1740"/>
    </row>
    <row r="8" spans="1:10" ht="16.5">
      <c r="A8" s="1743" t="s">
        <v>1285</v>
      </c>
      <c r="B8" s="1743">
        <f>SUM(I14:I23)</f>
        <v>0</v>
      </c>
      <c r="C8" s="1743">
        <f>ROUND(B8*10000/$B$1,0)</f>
        <v>0</v>
      </c>
      <c r="D8" s="1743">
        <f>ROUND(B8*10000/$B$2,0)</f>
        <v>0</v>
      </c>
      <c r="E8" s="1742"/>
      <c r="F8" s="1740"/>
      <c r="G8" s="1740"/>
    </row>
    <row r="9" spans="1:10" ht="16.5">
      <c r="A9" s="1743" t="s">
        <v>1355</v>
      </c>
      <c r="B9" s="1745"/>
      <c r="C9" s="1742"/>
      <c r="D9" s="1742"/>
      <c r="E9" s="1742"/>
      <c r="F9" s="1740"/>
      <c r="G9" s="1740"/>
    </row>
    <row r="10" spans="1:10" ht="16.5">
      <c r="A10" s="1743" t="s">
        <v>1354</v>
      </c>
      <c r="B10" s="1745"/>
      <c r="C10" s="1742"/>
      <c r="D10" s="1742"/>
      <c r="E10" s="1742"/>
      <c r="F10" s="1740"/>
      <c r="G10" s="1740"/>
    </row>
    <row r="11" spans="1:10" ht="16.5">
      <c r="A11" s="1743" t="s">
        <v>1370</v>
      </c>
      <c r="B11" s="1745"/>
      <c r="C11" s="1742"/>
      <c r="D11" s="1742"/>
      <c r="E11" s="1742"/>
      <c r="F11" s="1740"/>
      <c r="G11" s="1740"/>
    </row>
    <row r="12" spans="1:10" ht="16.5">
      <c r="A12" s="1742"/>
      <c r="B12" s="1742"/>
      <c r="C12" s="1742"/>
      <c r="D12" s="1742"/>
      <c r="E12" s="1742"/>
      <c r="F12" s="1740"/>
      <c r="G12" s="1740"/>
    </row>
    <row r="13" spans="1:10" ht="33">
      <c r="A13" s="1748" t="s">
        <v>1369</v>
      </c>
      <c r="B13" s="1741" t="s">
        <v>1366</v>
      </c>
      <c r="C13" s="1741" t="s">
        <v>1368</v>
      </c>
      <c r="D13" s="1741" t="s">
        <v>1367</v>
      </c>
      <c r="E13" s="1743" t="s">
        <v>1359</v>
      </c>
      <c r="F13" s="1743" t="s">
        <v>1358</v>
      </c>
      <c r="G13" s="1741" t="s">
        <v>1352</v>
      </c>
      <c r="H13" s="1741" t="s">
        <v>1363</v>
      </c>
      <c r="I13" s="1741" t="s">
        <v>1351</v>
      </c>
      <c r="J13" s="1740"/>
    </row>
    <row r="14" spans="1:10" ht="16.5">
      <c r="A14" s="1739" t="s">
        <v>1350</v>
      </c>
      <c r="B14" s="1741">
        <f>结果表!B118</f>
        <v>117348.15999999993</v>
      </c>
      <c r="C14" s="1741">
        <f>结果表!C118</f>
        <v>31136.97</v>
      </c>
      <c r="D14" s="1741">
        <f ca="1">结果表!H118</f>
        <v>271791</v>
      </c>
      <c r="E14" s="1741">
        <f ca="1">ROUND(D14*10000/B14,0)</f>
        <v>23161</v>
      </c>
      <c r="F14" s="1741">
        <f ca="1">ROUND(D14*10000/C14,0)</f>
        <v>87289</v>
      </c>
      <c r="G14" s="1741">
        <f ca="1">结果表!D122</f>
        <v>271791</v>
      </c>
      <c r="H14" s="1741" t="str">
        <f>结果表!D124</f>
        <v>——</v>
      </c>
      <c r="I14" s="1741" t="str">
        <f>结果表!D126</f>
        <v>——</v>
      </c>
      <c r="J14" s="1740"/>
    </row>
    <row r="15" spans="1:10" ht="16.5">
      <c r="A15" s="1739" t="s">
        <v>1349</v>
      </c>
      <c r="B15" s="1746">
        <f>[2]结果表!$B$118</f>
        <v>22973.98</v>
      </c>
      <c r="C15" s="1746">
        <f>[2]结果表!$C$118</f>
        <v>6845.8</v>
      </c>
      <c r="D15" s="1746">
        <f>[2]结果表!$H$118</f>
        <v>9240</v>
      </c>
      <c r="E15" s="1741">
        <f t="shared" ref="E15:E23" si="0">ROUND(D15*10000/B15,0)</f>
        <v>4022</v>
      </c>
      <c r="F15" s="1741">
        <f t="shared" ref="F15:F23" si="1">ROUND(D15*10000/C15,0)</f>
        <v>13497</v>
      </c>
      <c r="G15" s="1747">
        <f>D15</f>
        <v>9240</v>
      </c>
      <c r="H15" s="1747"/>
      <c r="I15" s="1746"/>
      <c r="J15" s="1740"/>
    </row>
    <row r="16" spans="1:10" ht="16.5">
      <c r="A16" s="1739" t="s">
        <v>1348</v>
      </c>
      <c r="B16" s="1746"/>
      <c r="C16" s="1746"/>
      <c r="D16" s="1746"/>
      <c r="E16" s="1741" t="e">
        <f t="shared" si="0"/>
        <v>#DIV/0!</v>
      </c>
      <c r="F16" s="1741" t="e">
        <f t="shared" si="1"/>
        <v>#DIV/0!</v>
      </c>
      <c r="G16" s="1747"/>
      <c r="H16" s="1747"/>
      <c r="I16" s="1746"/>
    </row>
    <row r="17" spans="1:9" ht="16.5">
      <c r="A17" s="1739" t="s">
        <v>1347</v>
      </c>
      <c r="B17" s="1746"/>
      <c r="C17" s="1746"/>
      <c r="D17" s="1746"/>
      <c r="E17" s="1741" t="e">
        <f t="shared" si="0"/>
        <v>#DIV/0!</v>
      </c>
      <c r="F17" s="1741" t="e">
        <f t="shared" si="1"/>
        <v>#DIV/0!</v>
      </c>
      <c r="G17" s="1747"/>
      <c r="H17" s="1747"/>
      <c r="I17" s="1746"/>
    </row>
    <row r="18" spans="1:9" ht="16.5">
      <c r="A18" s="1739" t="s">
        <v>1346</v>
      </c>
      <c r="B18" s="1746"/>
      <c r="C18" s="1746"/>
      <c r="D18" s="1746"/>
      <c r="E18" s="1741" t="e">
        <f t="shared" si="0"/>
        <v>#DIV/0!</v>
      </c>
      <c r="F18" s="1741" t="e">
        <f t="shared" si="1"/>
        <v>#DIV/0!</v>
      </c>
      <c r="G18" s="1746"/>
      <c r="H18" s="1746"/>
      <c r="I18" s="1746"/>
    </row>
    <row r="19" spans="1:9" ht="16.5">
      <c r="A19" s="1739" t="s">
        <v>1345</v>
      </c>
      <c r="B19" s="1746"/>
      <c r="C19" s="1746"/>
      <c r="D19" s="1746"/>
      <c r="E19" s="1741" t="e">
        <f t="shared" si="0"/>
        <v>#DIV/0!</v>
      </c>
      <c r="F19" s="1741" t="e">
        <f t="shared" si="1"/>
        <v>#DIV/0!</v>
      </c>
      <c r="G19" s="1746"/>
      <c r="H19" s="1746"/>
      <c r="I19" s="1746"/>
    </row>
    <row r="20" spans="1:9" ht="16.5">
      <c r="A20" s="1739" t="s">
        <v>1344</v>
      </c>
      <c r="B20" s="1746"/>
      <c r="C20" s="1746"/>
      <c r="D20" s="1746"/>
      <c r="E20" s="1741" t="e">
        <f t="shared" si="0"/>
        <v>#DIV/0!</v>
      </c>
      <c r="F20" s="1741" t="e">
        <f t="shared" si="1"/>
        <v>#DIV/0!</v>
      </c>
      <c r="G20" s="1746"/>
      <c r="H20" s="1746"/>
      <c r="I20" s="1746"/>
    </row>
    <row r="21" spans="1:9" ht="16.5">
      <c r="A21" s="1739" t="s">
        <v>1343</v>
      </c>
      <c r="B21" s="1746"/>
      <c r="C21" s="1746"/>
      <c r="D21" s="1746"/>
      <c r="E21" s="1741" t="e">
        <f t="shared" si="0"/>
        <v>#DIV/0!</v>
      </c>
      <c r="F21" s="1741" t="e">
        <f t="shared" si="1"/>
        <v>#DIV/0!</v>
      </c>
      <c r="G21" s="1746"/>
      <c r="H21" s="1746"/>
      <c r="I21" s="1746"/>
    </row>
    <row r="22" spans="1:9" ht="16.5">
      <c r="A22" s="1739" t="s">
        <v>1342</v>
      </c>
      <c r="B22" s="1746"/>
      <c r="C22" s="1746"/>
      <c r="D22" s="1746"/>
      <c r="E22" s="1741" t="e">
        <f t="shared" si="0"/>
        <v>#DIV/0!</v>
      </c>
      <c r="F22" s="1741" t="e">
        <f t="shared" si="1"/>
        <v>#DIV/0!</v>
      </c>
      <c r="G22" s="1746"/>
      <c r="H22" s="1746"/>
      <c r="I22" s="1746"/>
    </row>
    <row r="23" spans="1:9" ht="16.5">
      <c r="A23" s="1739" t="s">
        <v>1341</v>
      </c>
      <c r="B23" s="1746"/>
      <c r="C23" s="1746"/>
      <c r="D23" s="1746"/>
      <c r="E23" s="1743" t="e">
        <f t="shared" si="0"/>
        <v>#DIV/0!</v>
      </c>
      <c r="F23" s="1743" t="e">
        <f t="shared" si="1"/>
        <v>#DIV/0!</v>
      </c>
      <c r="G23" s="1746"/>
      <c r="H23" s="1746"/>
      <c r="I23" s="1746"/>
    </row>
  </sheetData>
  <sheetProtection password="C66D" sheet="1" objects="1" scenarios="1"/>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22" zoomScaleNormal="100" zoomScaleSheetLayoutView="100" zoomScalePageLayoutView="80" workbookViewId="0">
      <selection activeCell="M74" sqref="A72:M74"/>
    </sheetView>
  </sheetViews>
  <sheetFormatPr defaultColWidth="12.625" defaultRowHeight="21.75" customHeight="1"/>
  <cols>
    <col min="1" max="2" width="12.625" style="2420"/>
    <col min="3" max="4" width="12.625" style="2420" customWidth="1"/>
    <col min="5" max="9" width="12.625" style="2420"/>
    <col min="10" max="11" width="12.625" style="795" customWidth="1"/>
    <col min="12" max="12" width="12.625" style="795"/>
    <col min="13" max="13" width="14.125" style="795" bestFit="1" customWidth="1"/>
    <col min="14" max="26" width="12.625" style="795"/>
    <col min="27" max="35" width="12.625" style="2419"/>
    <col min="36" max="16384" width="12.625" style="2420"/>
  </cols>
  <sheetData>
    <row r="1" spans="1:12" ht="21.75" customHeight="1" thickBot="1">
      <c r="A1" s="2223" t="s">
        <v>2114</v>
      </c>
      <c r="B1" s="2414"/>
      <c r="C1" s="2415"/>
      <c r="D1" s="2414"/>
      <c r="E1" s="2414"/>
      <c r="F1" s="2416" t="s">
        <v>2115</v>
      </c>
      <c r="G1" s="2068" t="s">
        <v>2116</v>
      </c>
      <c r="H1" s="2417" t="str">
        <f>IF(G1="现房","——","估价对象范围")</f>
        <v>估价对象范围</v>
      </c>
      <c r="I1" s="2418"/>
    </row>
    <row r="2" spans="1:12" ht="21.75" customHeight="1" thickBot="1">
      <c r="A2" s="3250" t="str">
        <f>项目基本情况!S2</f>
        <v>北京市昌平区北七家镇GZT-05-1地块出让国有建设用地使用权及在建建筑物房地产</v>
      </c>
      <c r="B2" s="3251"/>
      <c r="C2" s="3251"/>
      <c r="D2" s="3251"/>
      <c r="E2" s="3251"/>
      <c r="F2" s="3251"/>
      <c r="G2" s="3251"/>
      <c r="H2" s="3251"/>
      <c r="I2" s="3252"/>
    </row>
    <row r="3" spans="1:12" ht="12.75">
      <c r="A3" s="3254" t="s">
        <v>2117</v>
      </c>
      <c r="B3" s="3255"/>
      <c r="C3" s="3255"/>
      <c r="D3" s="3255"/>
      <c r="E3" s="3255"/>
      <c r="F3" s="3255"/>
      <c r="G3" s="3255"/>
      <c r="H3" s="3255"/>
      <c r="I3" s="3255"/>
    </row>
    <row r="4" spans="1:12" ht="14.25">
      <c r="A4" s="2421" t="s">
        <v>2118</v>
      </c>
      <c r="B4" s="2422" t="s">
        <v>2119</v>
      </c>
      <c r="C4" s="2423" t="s">
        <v>3250</v>
      </c>
      <c r="D4" s="2423" t="s">
        <v>3251</v>
      </c>
      <c r="E4" s="3247" t="s">
        <v>2120</v>
      </c>
      <c r="F4" s="3248"/>
      <c r="G4" s="3248"/>
      <c r="H4" s="3248"/>
      <c r="I4" s="3256"/>
      <c r="K4" s="2424" t="str">
        <f>IF(ISNUMBER(FIND("比较法",结果表!C4)),"比较法",IF(ISNUMBER(FIND("成本法",结果表!C4)),"成本法",IF(ISNUMBER(FIND("假设开发法",结果表!C4)),"假设开发法",IF(ISNUMBER(FIND("收益法",结果表!C4)),"收益法","基准地价系数修正法"))))</f>
        <v>成本法</v>
      </c>
      <c r="L4" s="2424" t="str">
        <f>IF(ISNUMBER(FIND("比较法",结果表!D4)),"比较法",IF(ISNUMBER(FIND("成本法",结果表!D4)),"成本法",IF(ISNUMBER(FIND("假设开发法",结果表!D4)),"假设开发法",IF(ISNUMBER(FIND("收益法",结果表!D4)),"收益法","基准地价系数修正法"))))</f>
        <v>假设开发法</v>
      </c>
    </row>
    <row r="5" spans="1:12" ht="12.75">
      <c r="A5" s="3230" t="s">
        <v>2121</v>
      </c>
      <c r="B5" s="3151">
        <v>25</v>
      </c>
      <c r="C5" s="3233"/>
      <c r="D5" s="3253"/>
      <c r="E5" s="140" t="s">
        <v>2122</v>
      </c>
      <c r="F5" s="2425"/>
      <c r="G5" s="2425"/>
      <c r="H5" s="2425"/>
      <c r="I5" s="1831"/>
    </row>
    <row r="6" spans="1:12" ht="12.75">
      <c r="A6" s="3230"/>
      <c r="B6" s="3151"/>
      <c r="C6" s="3234"/>
      <c r="D6" s="3253"/>
      <c r="E6" s="140" t="s">
        <v>2123</v>
      </c>
      <c r="F6" s="2425"/>
      <c r="G6" s="2425"/>
      <c r="H6" s="2425"/>
      <c r="I6" s="1831"/>
    </row>
    <row r="7" spans="1:12" ht="12.75">
      <c r="A7" s="3230"/>
      <c r="B7" s="3151"/>
      <c r="C7" s="3235"/>
      <c r="D7" s="3253"/>
      <c r="E7" s="140" t="s">
        <v>2124</v>
      </c>
      <c r="F7" s="2425"/>
      <c r="G7" s="2425"/>
      <c r="H7" s="2425"/>
      <c r="I7" s="1831"/>
    </row>
    <row r="8" spans="1:12" ht="12.75">
      <c r="A8" s="3230" t="s">
        <v>2125</v>
      </c>
      <c r="B8" s="3151">
        <v>15</v>
      </c>
      <c r="C8" s="3233"/>
      <c r="D8" s="3253"/>
      <c r="E8" s="140" t="s">
        <v>2126</v>
      </c>
      <c r="F8" s="2425"/>
      <c r="G8" s="2425"/>
      <c r="H8" s="2425"/>
      <c r="I8" s="1831"/>
    </row>
    <row r="9" spans="1:12" ht="12.75">
      <c r="A9" s="3230"/>
      <c r="B9" s="3151"/>
      <c r="C9" s="3235"/>
      <c r="D9" s="3253"/>
      <c r="E9" s="140" t="s">
        <v>2127</v>
      </c>
      <c r="F9" s="2425"/>
      <c r="G9" s="2425"/>
      <c r="H9" s="2425"/>
      <c r="I9" s="1831"/>
    </row>
    <row r="10" spans="1:12" ht="12.75">
      <c r="A10" s="3230" t="s">
        <v>2128</v>
      </c>
      <c r="B10" s="3151">
        <v>15</v>
      </c>
      <c r="C10" s="3233"/>
      <c r="D10" s="3253"/>
      <c r="E10" s="140" t="s">
        <v>2129</v>
      </c>
      <c r="F10" s="2425"/>
      <c r="G10" s="2425"/>
      <c r="H10" s="2425"/>
      <c r="I10" s="1831"/>
    </row>
    <row r="11" spans="1:12" ht="12.75">
      <c r="A11" s="3230"/>
      <c r="B11" s="3151"/>
      <c r="C11" s="3235"/>
      <c r="D11" s="3253"/>
      <c r="E11" s="140" t="s">
        <v>2130</v>
      </c>
      <c r="F11" s="2425"/>
      <c r="G11" s="2425"/>
      <c r="H11" s="2425"/>
      <c r="I11" s="1831"/>
    </row>
    <row r="12" spans="1:12" ht="12.75">
      <c r="A12" s="3230" t="s">
        <v>2131</v>
      </c>
      <c r="B12" s="3151">
        <v>15</v>
      </c>
      <c r="C12" s="3233"/>
      <c r="D12" s="3253"/>
      <c r="E12" s="140" t="s">
        <v>2132</v>
      </c>
      <c r="F12" s="2425"/>
      <c r="G12" s="2425"/>
      <c r="H12" s="2425"/>
      <c r="I12" s="1831"/>
    </row>
    <row r="13" spans="1:12" ht="12.75">
      <c r="A13" s="3230"/>
      <c r="B13" s="3151"/>
      <c r="C13" s="3235"/>
      <c r="D13" s="3253"/>
      <c r="E13" s="140" t="s">
        <v>2133</v>
      </c>
      <c r="F13" s="2425"/>
      <c r="G13" s="2425"/>
      <c r="H13" s="2425"/>
      <c r="I13" s="1831"/>
    </row>
    <row r="14" spans="1:12" ht="12.75">
      <c r="A14" s="3230" t="s">
        <v>2134</v>
      </c>
      <c r="B14" s="3151">
        <v>30</v>
      </c>
      <c r="C14" s="3233">
        <v>4</v>
      </c>
      <c r="D14" s="3253">
        <v>6</v>
      </c>
      <c r="E14" s="140" t="s">
        <v>2135</v>
      </c>
      <c r="F14" s="2425"/>
      <c r="G14" s="2425"/>
      <c r="H14" s="2425"/>
      <c r="I14" s="1831"/>
    </row>
    <row r="15" spans="1:12" ht="12.75">
      <c r="A15" s="3230"/>
      <c r="B15" s="3151"/>
      <c r="C15" s="3234"/>
      <c r="D15" s="3253"/>
      <c r="E15" s="140" t="s">
        <v>2136</v>
      </c>
      <c r="F15" s="2425"/>
      <c r="G15" s="2425"/>
      <c r="H15" s="2425"/>
      <c r="I15" s="1831"/>
    </row>
    <row r="16" spans="1:12" ht="12.75">
      <c r="A16" s="3230"/>
      <c r="B16" s="3151"/>
      <c r="C16" s="3235"/>
      <c r="D16" s="3253"/>
      <c r="E16" s="140" t="s">
        <v>2137</v>
      </c>
      <c r="F16" s="2425"/>
      <c r="G16" s="2425"/>
      <c r="H16" s="2425"/>
      <c r="I16" s="1831"/>
    </row>
    <row r="17" spans="1:35" ht="15">
      <c r="A17" s="2426" t="s">
        <v>2138</v>
      </c>
      <c r="B17" s="64"/>
      <c r="C17" s="141">
        <f>SUM(C5:C16)</f>
        <v>4</v>
      </c>
      <c r="D17" s="141">
        <f>SUM(D5:D16)</f>
        <v>6</v>
      </c>
      <c r="E17" s="138"/>
      <c r="F17" s="138"/>
      <c r="G17" s="138"/>
      <c r="H17" s="138"/>
      <c r="I17" s="138"/>
      <c r="K17" s="2424"/>
      <c r="L17" s="2427" t="s">
        <v>2139</v>
      </c>
      <c r="M17" s="2427" t="s">
        <v>2140</v>
      </c>
    </row>
    <row r="18" spans="1:35" ht="15.75" thickBot="1">
      <c r="A18" s="2428" t="s">
        <v>2141</v>
      </c>
      <c r="B18" s="2429"/>
      <c r="C18" s="142">
        <f>ROUND(C17/SUM(C17:D17),2)</f>
        <v>0.4</v>
      </c>
      <c r="D18" s="142">
        <f>1-C18</f>
        <v>0.6</v>
      </c>
      <c r="E18" s="138"/>
      <c r="F18" s="138"/>
      <c r="G18" s="138"/>
      <c r="H18" s="138"/>
      <c r="I18" s="138"/>
      <c r="K18" s="2424" t="s">
        <v>2142</v>
      </c>
      <c r="L18" s="2424">
        <f>IF(C1="",'数据-汇总表'!E3,SUMIF(项目类型,C1,'数据-汇总表'!E17:E26)+SUMIF(项目类型,C1,'数据-汇总表'!I17:I26))</f>
        <v>117348.15999999993</v>
      </c>
      <c r="M18" s="2424">
        <f>IF(C1="",'数据-汇总表'!E3,SUMIF(项目类型,C1,'数据-汇总表'!E17:E26))</f>
        <v>117348.15999999993</v>
      </c>
    </row>
    <row r="19" spans="1:35" ht="15">
      <c r="A19" s="2430" t="s">
        <v>2143</v>
      </c>
      <c r="B19" s="2431" t="s">
        <v>2144</v>
      </c>
      <c r="C19" s="143">
        <f ca="1">SUMIF(INDIRECT("'"&amp;C4&amp;"'"&amp;"!A:A"),结果表!B19,INDIRECT("'"&amp;C4&amp;"'"&amp;"!B:B"))</f>
        <v>225167</v>
      </c>
      <c r="D19" s="144">
        <f ca="1">SUMIF(INDIRECT("'"&amp;D4&amp;"'"&amp;"!A:A"),结果表!B19,INDIRECT("'"&amp;D4&amp;"'"&amp;"!B:B"))</f>
        <v>302874</v>
      </c>
      <c r="E19" s="2430" t="s">
        <v>2145</v>
      </c>
      <c r="F19" s="2431" t="s">
        <v>2144</v>
      </c>
      <c r="G19" s="145">
        <f ca="1">ROUND(C19*$C$18+D19*$D$18,0)</f>
        <v>271791</v>
      </c>
      <c r="H19" s="2432" t="s">
        <v>2146</v>
      </c>
      <c r="I19" s="138"/>
      <c r="J19" s="795">
        <f ca="1">G19+[3]结果表!$G$19</f>
        <v>302940</v>
      </c>
      <c r="K19" s="2424" t="s">
        <v>2147</v>
      </c>
      <c r="L19" s="2424">
        <f>IF(C1="",'数据-汇总表'!D3,SUMIF(项目类型,C1,'数据-汇总表'!D17:D26)+SUMIF(项目类型,C1,'数据-汇总表'!H17:H27))</f>
        <v>31136.97</v>
      </c>
      <c r="M19" s="2424">
        <f>IF(C1="",'数据-汇总表'!D3,SUMIF(项目类型,C1,'数据-汇总表'!D17:D26))</f>
        <v>31136.97</v>
      </c>
    </row>
    <row r="20" spans="1:35" ht="15">
      <c r="A20" s="2433"/>
      <c r="B20" s="1247" t="s">
        <v>2148</v>
      </c>
      <c r="C20" s="146">
        <f ca="1">SUMIF(INDIRECT("'"&amp;C4&amp;"'"&amp;"!A:A"),结果表!B20,INDIRECT("'"&amp;C4&amp;"'"&amp;"!B:B"))</f>
        <v>19188</v>
      </c>
      <c r="D20" s="147">
        <f ca="1">SUMIF(INDIRECT("'"&amp;D4&amp;"'"&amp;"!A:A"),结果表!B20,INDIRECT("'"&amp;D4&amp;"'"&amp;"!B:B"))</f>
        <v>25810</v>
      </c>
      <c r="E20" s="2433"/>
      <c r="F20" s="1247" t="s">
        <v>2148</v>
      </c>
      <c r="G20" s="148">
        <f ca="1">ROUND(C20*$C$18+D20*$D$18,0)</f>
        <v>23161</v>
      </c>
      <c r="H20" s="980" t="s">
        <v>2149</v>
      </c>
      <c r="I20" s="138"/>
      <c r="J20" s="795">
        <f ca="1">G19/'数据-汇总表'!F31</f>
        <v>5.2145029376197858</v>
      </c>
    </row>
    <row r="21" spans="1:35" ht="15" customHeight="1" thickBot="1">
      <c r="A21" s="1000"/>
      <c r="B21" s="2434" t="s">
        <v>2150</v>
      </c>
      <c r="C21" s="789">
        <f ca="1">ROUND(C19*10000/L19,0)</f>
        <v>72315</v>
      </c>
      <c r="D21" s="790">
        <f ca="1">ROUND(D19*10000/L19,0)</f>
        <v>97272</v>
      </c>
      <c r="E21" s="1000"/>
      <c r="F21" s="2434" t="s">
        <v>2150</v>
      </c>
      <c r="G21" s="149">
        <f ca="1">ROUND(G19*10000/L19,0)</f>
        <v>87289</v>
      </c>
      <c r="H21" s="2435" t="s">
        <v>2149</v>
      </c>
      <c r="I21" s="138"/>
    </row>
    <row r="22" spans="1:35" ht="15" thickBot="1">
      <c r="A22" s="2278" t="s">
        <v>2151</v>
      </c>
      <c r="B22" s="2436"/>
      <c r="C22" s="2437"/>
      <c r="D22" s="791">
        <f ca="1">IF(C19&lt;D19,D19/C19-1,C19/D19-1)</f>
        <v>0.34510829739704318</v>
      </c>
      <c r="E22" s="138"/>
      <c r="F22" s="138"/>
      <c r="G22" s="138"/>
      <c r="H22" s="138"/>
      <c r="I22" s="138"/>
    </row>
    <row r="23" spans="1:35" ht="13.5" thickBot="1">
      <c r="A23" s="2414"/>
      <c r="B23" s="2414"/>
      <c r="C23" s="2414"/>
      <c r="D23" s="2414"/>
      <c r="E23" s="138"/>
      <c r="F23" s="138"/>
      <c r="G23" s="138"/>
      <c r="H23" s="138"/>
      <c r="I23" s="138"/>
    </row>
    <row r="24" spans="1:35" ht="14.25">
      <c r="A24" s="3224" t="s">
        <v>2152</v>
      </c>
      <c r="B24" s="2431" t="s">
        <v>2144</v>
      </c>
      <c r="C24" s="145">
        <f>IF(B30=0,0,D30)</f>
        <v>0</v>
      </c>
      <c r="D24" s="2438"/>
      <c r="E24" s="138"/>
      <c r="F24" s="138"/>
      <c r="G24" s="138"/>
      <c r="H24" s="138"/>
      <c r="I24" s="138"/>
    </row>
    <row r="25" spans="1:35" ht="14.25">
      <c r="A25" s="3225"/>
      <c r="B25" s="1247" t="s">
        <v>2148</v>
      </c>
      <c r="C25" s="150">
        <f>IF(B30=0,0,C30)</f>
        <v>0</v>
      </c>
      <c r="D25" s="2439"/>
      <c r="E25" s="138"/>
      <c r="F25" s="138"/>
      <c r="G25" s="138"/>
      <c r="H25" s="138"/>
      <c r="I25" s="138"/>
    </row>
    <row r="26" spans="1:35" ht="13.5" customHeight="1">
      <c r="A26" s="2440" t="s">
        <v>2153</v>
      </c>
      <c r="B26" s="151" t="s">
        <v>2154</v>
      </c>
      <c r="C26" s="151" t="s">
        <v>2155</v>
      </c>
      <c r="D26" s="152" t="s">
        <v>2156</v>
      </c>
      <c r="E26" s="138"/>
      <c r="F26" s="138"/>
      <c r="G26" s="138"/>
      <c r="H26" s="138"/>
      <c r="I26" s="138"/>
    </row>
    <row r="27" spans="1:35" ht="14.25">
      <c r="A27" s="2440"/>
      <c r="B27" s="151">
        <v>0</v>
      </c>
      <c r="C27" s="151">
        <v>0</v>
      </c>
      <c r="D27" s="152">
        <f>ROUND(C27*B27/10000,0)</f>
        <v>0</v>
      </c>
      <c r="E27" s="138"/>
      <c r="F27" s="138"/>
      <c r="G27" s="138"/>
      <c r="H27" s="138"/>
      <c r="I27" s="138"/>
    </row>
    <row r="28" spans="1:35" ht="14.25">
      <c r="A28" s="2440"/>
      <c r="B28" s="151"/>
      <c r="C28" s="151"/>
      <c r="D28" s="152"/>
      <c r="E28" s="138"/>
      <c r="F28" s="138"/>
      <c r="G28" s="138"/>
      <c r="H28" s="138"/>
      <c r="I28" s="138"/>
    </row>
    <row r="29" spans="1:35" ht="14.25">
      <c r="A29" s="2440"/>
      <c r="B29" s="151"/>
      <c r="C29" s="151"/>
      <c r="D29" s="152"/>
      <c r="E29" s="138"/>
      <c r="F29" s="138"/>
      <c r="G29" s="138"/>
      <c r="H29" s="138"/>
      <c r="I29" s="138"/>
    </row>
    <row r="30" spans="1:35" ht="14.25">
      <c r="A30" s="151" t="s">
        <v>2157</v>
      </c>
      <c r="B30" s="151"/>
      <c r="C30" s="151"/>
      <c r="D30" s="151"/>
      <c r="E30" s="2921" t="s">
        <v>3034</v>
      </c>
      <c r="F30" s="138"/>
      <c r="G30" s="138"/>
      <c r="H30" s="138"/>
      <c r="I30" s="138"/>
    </row>
    <row r="31" spans="1:35" s="2442" customFormat="1" ht="15" thickBot="1">
      <c r="A31" s="2441"/>
      <c r="B31" s="2441"/>
      <c r="C31" s="2441"/>
      <c r="D31" s="2441"/>
      <c r="E31" s="138"/>
      <c r="F31" s="138"/>
      <c r="G31" s="138"/>
      <c r="H31" s="138"/>
      <c r="I31" s="138"/>
      <c r="J31" s="795"/>
      <c r="K31" s="795"/>
      <c r="L31" s="795"/>
      <c r="M31" s="795"/>
      <c r="N31" s="795"/>
      <c r="O31" s="795"/>
      <c r="P31" s="795"/>
      <c r="Q31" s="795"/>
      <c r="R31" s="795"/>
      <c r="S31" s="795"/>
      <c r="T31" s="795"/>
      <c r="U31" s="795"/>
      <c r="V31" s="795"/>
      <c r="W31" s="795"/>
      <c r="X31" s="795"/>
      <c r="Y31" s="795"/>
      <c r="Z31" s="795"/>
      <c r="AA31" s="2419"/>
      <c r="AB31" s="2419"/>
      <c r="AC31" s="2419"/>
      <c r="AD31" s="2419"/>
      <c r="AE31" s="2419"/>
      <c r="AF31" s="2419"/>
      <c r="AG31" s="2419"/>
      <c r="AH31" s="2419"/>
      <c r="AI31" s="2419"/>
    </row>
    <row r="32" spans="1:35" ht="15.75" thickBot="1">
      <c r="A32" s="2443" t="s">
        <v>2158</v>
      </c>
      <c r="B32" s="2444"/>
      <c r="C32" s="153">
        <f ca="1">IF(D32="总价",G19-C24,G20-C25)</f>
        <v>271791</v>
      </c>
      <c r="D32" s="2445" t="s">
        <v>2159</v>
      </c>
      <c r="E32" s="138"/>
      <c r="F32" s="138"/>
      <c r="G32" s="138"/>
      <c r="H32" s="138"/>
      <c r="I32" s="138"/>
    </row>
    <row r="33" spans="1:15" ht="15">
      <c r="A33" s="957" t="s">
        <v>2160</v>
      </c>
      <c r="B33" s="2446"/>
      <c r="C33" s="2447" t="s">
        <v>3363</v>
      </c>
      <c r="D33" s="2448" t="s">
        <v>3250</v>
      </c>
      <c r="E33" s="2449" t="s">
        <v>2161</v>
      </c>
      <c r="F33" s="2450" t="str">
        <f>IF(D32="楼面单价","取值（单价）","取值（总价）")</f>
        <v>取值（总价）</v>
      </c>
      <c r="G33" s="138"/>
      <c r="H33" s="138"/>
      <c r="I33" s="138"/>
    </row>
    <row r="34" spans="1:15" ht="15">
      <c r="A34" s="2451"/>
      <c r="B34" s="2452" t="s">
        <v>2162</v>
      </c>
      <c r="C34" s="157">
        <f ca="1">IF(C33="自定义",F34,C32-C35)</f>
        <v>239448</v>
      </c>
      <c r="D34" s="1055">
        <f ca="1">IF(C33="自定义",ROUND(C34/C32,3),IF(C33="收益比率",SUMIF(INDIRECT("'"&amp;D33&amp;"'"&amp;"!b:b"),"土地收益比率",INDIRECT("'"&amp;D33&amp;"'"&amp;"!c:c")),SUMIF(INDIRECT("'"&amp;D33&amp;"'"&amp;"!b:b"),"土地成本比率",INDIRECT("'"&amp;D33&amp;"'"&amp;"!c:c"))))</f>
        <v>0.88100000000000001</v>
      </c>
      <c r="E34" s="2453" t="s">
        <v>2163</v>
      </c>
      <c r="F34" s="1736"/>
      <c r="G34" s="138"/>
      <c r="H34" s="138"/>
      <c r="I34" s="138"/>
    </row>
    <row r="35" spans="1:15" ht="15.75" thickBot="1">
      <c r="A35" s="2454"/>
      <c r="B35" s="2455" t="s">
        <v>2164</v>
      </c>
      <c r="C35" s="1441">
        <f ca="1">IF(C33="自定义",F35,ROUND(C32*D35,0))</f>
        <v>32343</v>
      </c>
      <c r="D35" s="1442">
        <f ca="1">IF(C33="自定义",ROUND(C35/C32,3),IF(C33="收益比率",SUMIF(INDIRECT("'"&amp;D33&amp;"'"&amp;"!b:b"),"建筑物收益比率",INDIRECT("'"&amp;D33&amp;"'"&amp;"!c:c")),SUMIF(INDIRECT("'"&amp;D33&amp;"'"&amp;"!b:b"),"建筑物成本比率",INDIRECT("'"&amp;D33&amp;"'"&amp;"!c:c"))))</f>
        <v>0.11899999999999999</v>
      </c>
      <c r="E35" s="2456" t="s">
        <v>2165</v>
      </c>
      <c r="F35" s="163"/>
      <c r="G35" s="138"/>
      <c r="H35" s="138"/>
      <c r="I35" s="138"/>
    </row>
    <row r="36" spans="1:15" ht="15.75" thickBot="1">
      <c r="A36" s="3242" t="s">
        <v>2166</v>
      </c>
      <c r="B36" s="2457" t="s">
        <v>2167</v>
      </c>
      <c r="C36" s="154"/>
      <c r="D36" s="2458"/>
      <c r="E36" s="2459"/>
      <c r="F36" s="2460"/>
      <c r="G36" s="138"/>
      <c r="H36" s="138"/>
      <c r="I36" s="138"/>
    </row>
    <row r="37" spans="1:15" ht="15.75" thickBot="1">
      <c r="A37" s="3243"/>
      <c r="B37" s="2264" t="s">
        <v>2168</v>
      </c>
      <c r="C37" s="156"/>
      <c r="D37" s="1392"/>
      <c r="E37" s="1392"/>
      <c r="F37" s="2460"/>
      <c r="G37" s="138"/>
      <c r="H37" s="138"/>
      <c r="I37" s="138"/>
    </row>
    <row r="38" spans="1:15" ht="15.75" thickBot="1">
      <c r="A38" s="3244"/>
      <c r="B38" s="2461" t="s">
        <v>2169</v>
      </c>
      <c r="C38" s="727"/>
      <c r="D38" s="2462" t="s">
        <v>2170</v>
      </c>
      <c r="E38" s="1392"/>
      <c r="F38" s="2460"/>
      <c r="G38" s="138"/>
      <c r="H38" s="138"/>
      <c r="I38" s="138"/>
    </row>
    <row r="39" spans="1:15" ht="15">
      <c r="A39" s="2433" t="s">
        <v>2171</v>
      </c>
      <c r="B39" s="2463" t="s">
        <v>2172</v>
      </c>
      <c r="C39" s="2464" t="s">
        <v>2173</v>
      </c>
      <c r="D39" s="2464" t="s">
        <v>2174</v>
      </c>
      <c r="E39" s="2465" t="s">
        <v>2175</v>
      </c>
      <c r="F39" s="2460"/>
      <c r="G39" s="138"/>
      <c r="H39" s="138"/>
      <c r="I39" s="138"/>
    </row>
    <row r="40" spans="1:15" ht="14.25">
      <c r="A40" s="2466" t="s">
        <v>2176</v>
      </c>
      <c r="B40" s="158"/>
      <c r="C40" s="159"/>
      <c r="D40" s="159"/>
      <c r="E40" s="160"/>
      <c r="F40" s="2460"/>
      <c r="G40" s="138"/>
      <c r="H40" s="138"/>
      <c r="I40" s="138"/>
    </row>
    <row r="41" spans="1:15" ht="14.25">
      <c r="A41" s="2466" t="s">
        <v>2177</v>
      </c>
      <c r="B41" s="158"/>
      <c r="C41" s="159"/>
      <c r="D41" s="159"/>
      <c r="E41" s="160"/>
      <c r="F41" s="2460"/>
      <c r="G41" s="138"/>
      <c r="H41" s="138"/>
      <c r="I41" s="138"/>
    </row>
    <row r="42" spans="1:15" ht="15" thickBot="1">
      <c r="A42" s="2467"/>
      <c r="B42" s="161"/>
      <c r="C42" s="162"/>
      <c r="D42" s="162"/>
      <c r="E42" s="163"/>
      <c r="F42" s="2460"/>
      <c r="G42" s="138"/>
      <c r="H42" s="138"/>
      <c r="I42" s="138"/>
    </row>
    <row r="43" spans="1:15" ht="12.75">
      <c r="A43" s="2163"/>
      <c r="B43" s="2163"/>
      <c r="C43" s="2163"/>
      <c r="D43" s="2163"/>
      <c r="E43" s="2163"/>
      <c r="F43" s="2468"/>
      <c r="G43" s="2468"/>
      <c r="H43" s="2468"/>
      <c r="I43" s="2469"/>
    </row>
    <row r="44" spans="1:15" ht="18.75">
      <c r="A44" s="2470" t="s">
        <v>2178</v>
      </c>
      <c r="B44" s="2471"/>
      <c r="C44" s="2471"/>
      <c r="D44" s="2472"/>
      <c r="E44" s="2472"/>
      <c r="F44" s="2473"/>
      <c r="G44" s="2473"/>
      <c r="H44" s="2473"/>
      <c r="I44" s="2473"/>
      <c r="J44" s="2474" t="s">
        <v>2179</v>
      </c>
      <c r="K44" s="2475"/>
      <c r="L44" s="2475"/>
      <c r="M44" s="2475"/>
      <c r="N44" s="2475"/>
      <c r="O44" s="2475"/>
    </row>
    <row r="45" spans="1:15" ht="14.25" customHeight="1" thickBot="1">
      <c r="A45" s="3221" t="s">
        <v>2180</v>
      </c>
      <c r="B45" s="3222"/>
      <c r="C45" s="3223"/>
      <c r="D45" s="164">
        <f ca="1">ROUND(H101*F45,0)</f>
        <v>271791</v>
      </c>
      <c r="E45" s="165" t="s">
        <v>2181</v>
      </c>
      <c r="F45" s="166">
        <v>1</v>
      </c>
      <c r="G45" s="167" t="s">
        <v>2182</v>
      </c>
      <c r="H45" s="138"/>
      <c r="I45" s="138"/>
      <c r="J45" s="3281" t="s">
        <v>2183</v>
      </c>
      <c r="K45" s="3281"/>
      <c r="L45" s="3281"/>
      <c r="M45" s="3281"/>
      <c r="N45" s="3281"/>
      <c r="O45" s="3281"/>
    </row>
    <row r="46" spans="1:15" ht="14.25" customHeight="1">
      <c r="A46" s="3218" t="s">
        <v>2184</v>
      </c>
      <c r="B46" s="3219"/>
      <c r="C46" s="3219"/>
      <c r="D46" s="3219"/>
      <c r="E46" s="3219"/>
      <c r="F46" s="3219"/>
      <c r="G46" s="3220"/>
      <c r="H46" s="2476"/>
      <c r="I46" s="168"/>
      <c r="J46" s="1809">
        <v>1</v>
      </c>
      <c r="K46" s="3281" t="s">
        <v>2185</v>
      </c>
      <c r="L46" s="3281"/>
      <c r="M46" s="3301"/>
      <c r="N46" s="3301"/>
      <c r="O46" s="3301"/>
    </row>
    <row r="47" spans="1:15" ht="12" customHeight="1">
      <c r="A47" s="169" t="s">
        <v>2186</v>
      </c>
      <c r="B47" s="170"/>
      <c r="C47" s="171"/>
      <c r="D47" s="172" t="s">
        <v>2187</v>
      </c>
      <c r="E47" s="24" t="s">
        <v>2188</v>
      </c>
      <c r="F47" s="173" t="s">
        <v>2189</v>
      </c>
      <c r="G47" s="174" t="s">
        <v>2190</v>
      </c>
      <c r="H47" s="2476"/>
      <c r="I47" s="168"/>
      <c r="J47" s="1809">
        <v>2</v>
      </c>
      <c r="K47" s="3281" t="s">
        <v>2191</v>
      </c>
      <c r="L47" s="3281"/>
      <c r="M47" s="3302">
        <f>'数据-取费表'!B2</f>
        <v>43111</v>
      </c>
      <c r="N47" s="3302"/>
      <c r="O47" s="3302"/>
    </row>
    <row r="48" spans="1:15" ht="25.5">
      <c r="A48" s="3249" t="s">
        <v>2192</v>
      </c>
      <c r="B48" s="3232"/>
      <c r="C48" s="3232"/>
      <c r="D48" s="140">
        <f>IF(H48="情况1",0,IF(H48="情况2",D52,IF(H48="情况3",D53,IF(H48="情况4",D54))))</f>
        <v>0</v>
      </c>
      <c r="E48" s="1798" t="str">
        <f>IF(H48="情况4","(销售额-原购置价)×税（费）率","销售额×税（费）率")</f>
        <v>销售额×税（费）率</v>
      </c>
      <c r="F48" s="175" t="str">
        <f>IF(H48="情况1","免征",'数据-取费表'!B41)</f>
        <v>免征</v>
      </c>
      <c r="G48" s="2477" t="s">
        <v>2193</v>
      </c>
      <c r="H48" s="2478" t="s">
        <v>2194</v>
      </c>
      <c r="I48" s="2476"/>
      <c r="J48" s="1809">
        <v>3</v>
      </c>
      <c r="K48" s="3281" t="s">
        <v>2195</v>
      </c>
      <c r="L48" s="3281"/>
      <c r="M48" s="3303">
        <f ca="1">H101</f>
        <v>271791</v>
      </c>
      <c r="N48" s="3303"/>
      <c r="O48" s="3303"/>
    </row>
    <row r="49" spans="1:35" ht="25.5" customHeight="1">
      <c r="A49" s="176" t="s">
        <v>2196</v>
      </c>
      <c r="B49" s="3217" t="s">
        <v>2197</v>
      </c>
      <c r="C49" s="3217"/>
      <c r="D49" s="177">
        <v>0</v>
      </c>
      <c r="E49" s="23" t="s">
        <v>2198</v>
      </c>
      <c r="F49" s="28" t="s">
        <v>34</v>
      </c>
      <c r="G49" s="3287"/>
      <c r="H49" s="138"/>
      <c r="I49" s="2479"/>
      <c r="J49" s="1809">
        <v>4</v>
      </c>
      <c r="K49" s="3281" t="str">
        <f>IF(项目基本情况!E8="房地产抵押价值","房地产抵押价值","抵押担保权已注销时的房地产抵押价值")</f>
        <v>房地产抵押价值</v>
      </c>
      <c r="L49" s="3281"/>
      <c r="M49" s="3303">
        <f ca="1">IF(项目基本情况!E8="房地产抵押价值",H107,H109)</f>
        <v>271791</v>
      </c>
      <c r="N49" s="3303"/>
      <c r="O49" s="3303"/>
    </row>
    <row r="50" spans="1:35" ht="25.5" customHeight="1">
      <c r="A50" s="178"/>
      <c r="B50" s="3217" t="s">
        <v>2199</v>
      </c>
      <c r="C50" s="3217"/>
      <c r="D50" s="179"/>
      <c r="E50" s="31"/>
      <c r="F50" s="180"/>
      <c r="G50" s="3288"/>
      <c r="H50" s="138"/>
      <c r="I50" s="2479"/>
      <c r="J50" s="3281" t="s">
        <v>2200</v>
      </c>
      <c r="K50" s="3281"/>
      <c r="L50" s="3281"/>
      <c r="M50" s="3281"/>
      <c r="N50" s="3281"/>
      <c r="O50" s="3281"/>
    </row>
    <row r="51" spans="1:35" ht="12" customHeight="1">
      <c r="A51" s="181"/>
      <c r="B51" s="3217" t="s">
        <v>2201</v>
      </c>
      <c r="C51" s="3217"/>
      <c r="D51" s="182"/>
      <c r="E51" s="30"/>
      <c r="F51" s="180"/>
      <c r="G51" s="3289"/>
      <c r="H51" s="138"/>
      <c r="I51" s="2479"/>
      <c r="J51" s="2480" t="s">
        <v>2202</v>
      </c>
      <c r="K51" s="3281" t="s">
        <v>2203</v>
      </c>
      <c r="L51" s="3281"/>
      <c r="M51" s="2480" t="s">
        <v>2204</v>
      </c>
      <c r="N51" s="2480" t="s">
        <v>2205</v>
      </c>
      <c r="O51" s="2480" t="s">
        <v>2206</v>
      </c>
    </row>
    <row r="52" spans="1:35" ht="24" customHeight="1">
      <c r="A52" s="183" t="s">
        <v>2207</v>
      </c>
      <c r="B52" s="3217" t="s">
        <v>2208</v>
      </c>
      <c r="C52" s="3217"/>
      <c r="D52" s="182">
        <f ca="1">ROUND(D45*'数据-取费表'!B41/(1+'数据-取费表'!C42),0)</f>
        <v>14237</v>
      </c>
      <c r="E52" s="11" t="s">
        <v>2209</v>
      </c>
      <c r="F52" s="184">
        <f>'数据-取费表'!B41</f>
        <v>5.5000000000000007E-2</v>
      </c>
      <c r="G52" s="2481"/>
      <c r="H52" s="138"/>
      <c r="I52" s="2479"/>
      <c r="J52" s="1809">
        <v>1</v>
      </c>
      <c r="K52" s="3282" t="s">
        <v>2210</v>
      </c>
      <c r="L52" s="3282"/>
      <c r="M52" s="1751">
        <f>D48</f>
        <v>0</v>
      </c>
      <c r="N52" s="1809" t="str">
        <f>E48</f>
        <v>销售额×税（费）率</v>
      </c>
      <c r="O52" s="1752" t="str">
        <f>F48</f>
        <v>免征</v>
      </c>
    </row>
    <row r="53" spans="1:35" ht="12" customHeight="1">
      <c r="A53" s="183" t="s">
        <v>2211</v>
      </c>
      <c r="B53" s="3240" t="s">
        <v>2212</v>
      </c>
      <c r="C53" s="3241"/>
      <c r="D53" s="182">
        <f ca="1">ROUND(D45*'数据-取费表'!B41/(1+'数据-取费表'!C42),0)</f>
        <v>14237</v>
      </c>
      <c r="E53" s="11" t="s">
        <v>2209</v>
      </c>
      <c r="F53" s="184">
        <f>'数据-取费表'!B41</f>
        <v>5.5000000000000007E-2</v>
      </c>
      <c r="G53" s="2481"/>
      <c r="H53" s="138"/>
      <c r="I53" s="2479"/>
      <c r="J53" s="1809">
        <v>2</v>
      </c>
      <c r="K53" s="3282" t="s">
        <v>2213</v>
      </c>
      <c r="L53" s="3282"/>
      <c r="M53" s="1751">
        <f t="shared" ref="M53:O54" ca="1" si="0">D55</f>
        <v>136</v>
      </c>
      <c r="N53" s="1809" t="str">
        <f t="shared" si="0"/>
        <v>销售额×税（费）率</v>
      </c>
      <c r="O53" s="1752">
        <f t="shared" si="0"/>
        <v>5.0000000000000001E-4</v>
      </c>
    </row>
    <row r="54" spans="1:35" ht="12" customHeight="1">
      <c r="A54" s="183" t="s">
        <v>2214</v>
      </c>
      <c r="B54" s="3240" t="s">
        <v>2215</v>
      </c>
      <c r="C54" s="3241"/>
      <c r="D54" s="182">
        <f ca="1">C68</f>
        <v>14237</v>
      </c>
      <c r="E54" s="30" t="s">
        <v>2216</v>
      </c>
      <c r="F54" s="184">
        <f>'数据-取费表'!B41</f>
        <v>5.5000000000000007E-2</v>
      </c>
      <c r="G54" s="2481"/>
      <c r="H54" s="2482"/>
      <c r="I54" s="2479"/>
      <c r="J54" s="1809">
        <v>3</v>
      </c>
      <c r="K54" s="3282" t="s">
        <v>2217</v>
      </c>
      <c r="L54" s="3282"/>
      <c r="M54" s="1751">
        <f t="shared" ca="1" si="0"/>
        <v>154080</v>
      </c>
      <c r="N54" s="1809" t="str">
        <f t="shared" si="0"/>
        <v>增值额×税（费）率</v>
      </c>
      <c r="O54" s="1753" t="str">
        <f t="shared" si="0"/>
        <v>——</v>
      </c>
    </row>
    <row r="55" spans="1:35" ht="24" customHeight="1">
      <c r="A55" s="3231" t="s">
        <v>2218</v>
      </c>
      <c r="B55" s="3232"/>
      <c r="C55" s="3232"/>
      <c r="D55" s="185">
        <f ca="1">IF(H55="个人住宅",0,ROUND(D45*I55,0))</f>
        <v>136</v>
      </c>
      <c r="E55" s="11" t="s">
        <v>2219</v>
      </c>
      <c r="F55" s="184">
        <f>IF(H55="正常",I55,"免征")</f>
        <v>5.0000000000000001E-4</v>
      </c>
      <c r="G55" s="2481"/>
      <c r="H55" s="2478" t="s">
        <v>2220</v>
      </c>
      <c r="I55" s="186">
        <f>'数据-取费表'!B49</f>
        <v>5.0000000000000001E-4</v>
      </c>
      <c r="J55" s="1809" t="str">
        <f>IF(H59="非个人房产","",4)</f>
        <v/>
      </c>
      <c r="K55" s="3282" t="str">
        <f>IF(H59="非个人房产","——","个人所得税")</f>
        <v>——</v>
      </c>
      <c r="L55" s="3282"/>
      <c r="M55" s="1754" t="str">
        <f>D59</f>
        <v>——</v>
      </c>
      <c r="N55" s="1807" t="str">
        <f>E59</f>
        <v>——</v>
      </c>
      <c r="O55" s="1755" t="str">
        <f>F59</f>
        <v>——</v>
      </c>
    </row>
    <row r="56" spans="1:35" ht="24.75">
      <c r="A56" s="3231" t="s">
        <v>2221</v>
      </c>
      <c r="B56" s="3232"/>
      <c r="C56" s="3232"/>
      <c r="D56" s="185">
        <f ca="1">IF(H56="个人住宅",D57,D58)</f>
        <v>154080</v>
      </c>
      <c r="E56" s="11" t="s">
        <v>2222</v>
      </c>
      <c r="F56" s="184" t="str">
        <f>IF(H56="正常",F58,"免征")</f>
        <v>——</v>
      </c>
      <c r="G56" s="2483" t="s">
        <v>2223</v>
      </c>
      <c r="H56" s="2484" t="s">
        <v>2220</v>
      </c>
      <c r="I56" s="2485"/>
      <c r="J56" s="1809" t="str">
        <f>IF(项目基本情况!K6="上海银行",IF(J55="",4,J55+1),"")</f>
        <v/>
      </c>
      <c r="K56" s="3305" t="str">
        <f>IF(项目基本情况!K6="上海银行","其他处置费用","")</f>
        <v/>
      </c>
      <c r="L56" s="3306"/>
      <c r="M56" s="1751" t="str">
        <f>IF(项目基本情况!K6="上海银行",M69,"")</f>
        <v/>
      </c>
      <c r="N56" s="3308" t="str">
        <f>IF(项目基本情况!K6="上海银行","包含处置中涉及的律师、诉讼、拍卖、评估等费用","")</f>
        <v/>
      </c>
      <c r="O56" s="3309"/>
    </row>
    <row r="57" spans="1:35" ht="12.75">
      <c r="A57" s="183" t="s">
        <v>2196</v>
      </c>
      <c r="B57" s="3247" t="s">
        <v>2224</v>
      </c>
      <c r="C57" s="3256"/>
      <c r="D57" s="187">
        <v>0</v>
      </c>
      <c r="E57" s="23" t="s">
        <v>2198</v>
      </c>
      <c r="F57" s="155"/>
      <c r="G57" s="2481"/>
      <c r="H57" s="2485"/>
      <c r="I57" s="2485"/>
      <c r="J57" s="3282">
        <f>IF(AND(J55="",J56=""),4,IF(项目基本情况!K6="上海银行",结果表!J56+1,结果表!J55+1))</f>
        <v>4</v>
      </c>
      <c r="K57" s="3282" t="s">
        <v>2225</v>
      </c>
      <c r="L57" s="2486" t="s">
        <v>2226</v>
      </c>
      <c r="M57" s="1756"/>
      <c r="N57" s="1757">
        <f ca="1">SUMIF(M52:M56,"&lt;9e307")</f>
        <v>154216</v>
      </c>
      <c r="O57" s="2487"/>
      <c r="P57" s="1750">
        <f ca="1">N57/M49</f>
        <v>0.56740657343326306</v>
      </c>
    </row>
    <row r="58" spans="1:35" ht="24.75">
      <c r="A58" s="183" t="s">
        <v>2207</v>
      </c>
      <c r="B58" s="3247" t="s">
        <v>2227</v>
      </c>
      <c r="C58" s="3248"/>
      <c r="D58" s="185">
        <f ca="1">IF(H58="转让取得",C81,C97)</f>
        <v>154080</v>
      </c>
      <c r="E58" s="11" t="s">
        <v>2222</v>
      </c>
      <c r="F58" s="24" t="s">
        <v>34</v>
      </c>
      <c r="G58" s="2481"/>
      <c r="H58" s="2484" t="s">
        <v>2228</v>
      </c>
      <c r="I58" s="2485"/>
      <c r="J58" s="3282"/>
      <c r="K58" s="3282"/>
      <c r="L58" s="2486" t="s">
        <v>2229</v>
      </c>
      <c r="M58" s="1758"/>
      <c r="N58" s="2488" t="str">
        <f ca="1">NUMBERSTRING(INT(N57*10000),2)&amp;"元整"</f>
        <v>壹拾伍亿肆仟贰佰壹拾陆万元整</v>
      </c>
      <c r="O58" s="2489"/>
    </row>
    <row r="59" spans="1:35" ht="24.75" thickBot="1">
      <c r="A59" s="3285" t="s">
        <v>2230</v>
      </c>
      <c r="B59" s="3286"/>
      <c r="C59" s="3286"/>
      <c r="D59" s="188" t="str">
        <f>IF(H59="非个人房产","——",IF(H59="个人住宅",0,ROUND(D45*I59,0)))</f>
        <v>——</v>
      </c>
      <c r="E59" s="189" t="str">
        <f>IF(H59="非个人房产","——","销售额×税（费）率")</f>
        <v>——</v>
      </c>
      <c r="F59" s="190" t="str">
        <f>IF(H59="非个人房产","——",IF(H59="个人住宅","免征",I59))</f>
        <v>——</v>
      </c>
      <c r="G59" s="2490" t="s">
        <v>2223</v>
      </c>
      <c r="H59" s="2484" t="s">
        <v>2231</v>
      </c>
      <c r="I59" s="191">
        <v>0.01</v>
      </c>
      <c r="J59" s="3283">
        <f>J57+1</f>
        <v>5</v>
      </c>
      <c r="K59" s="3282" t="s">
        <v>2232</v>
      </c>
      <c r="L59" s="1809" t="s">
        <v>2226</v>
      </c>
      <c r="M59" s="1759"/>
      <c r="N59" s="1760">
        <f ca="1">M49-N57</f>
        <v>117575</v>
      </c>
      <c r="O59" s="2491"/>
    </row>
    <row r="60" spans="1:35" ht="12" customHeight="1">
      <c r="A60" s="2492"/>
      <c r="B60" s="2414"/>
      <c r="C60" s="2414"/>
      <c r="D60" s="2414"/>
      <c r="E60" s="2164"/>
      <c r="F60" s="2485"/>
      <c r="G60" s="2485"/>
      <c r="H60" s="2493"/>
      <c r="I60" s="138"/>
      <c r="J60" s="3284"/>
      <c r="K60" s="3282"/>
      <c r="L60" s="2486" t="s">
        <v>2229</v>
      </c>
      <c r="M60" s="1758"/>
      <c r="N60" s="2488" t="str">
        <f ca="1">NUMBERSTRING(INT(N59*10000),2)&amp;"元整"</f>
        <v>壹拾壹亿柒仟伍佰柒拾伍万元整</v>
      </c>
      <c r="O60" s="2489"/>
    </row>
    <row r="61" spans="1:35" ht="13.5" thickBot="1">
      <c r="A61" s="3229" t="s">
        <v>2233</v>
      </c>
      <c r="B61" s="3229"/>
      <c r="C61" s="3229"/>
      <c r="D61" s="3229"/>
      <c r="E61" s="3229"/>
      <c r="F61" s="2485"/>
      <c r="G61" s="2485"/>
      <c r="H61" s="2493"/>
      <c r="I61" s="138"/>
      <c r="J61" s="1809">
        <f>J59+1</f>
        <v>6</v>
      </c>
      <c r="K61" s="3282" t="s">
        <v>2234</v>
      </c>
      <c r="L61" s="3282"/>
      <c r="M61" s="1761"/>
      <c r="N61" s="1762">
        <f ca="1">ROUND(N59*10000/'数据-汇总表'!E3,0)</f>
        <v>10019</v>
      </c>
      <c r="O61" s="2494"/>
    </row>
    <row r="62" spans="1:35" ht="12.75">
      <c r="A62" s="3245" t="s">
        <v>2235</v>
      </c>
      <c r="B62" s="3246"/>
      <c r="C62" s="1801"/>
      <c r="D62" s="1801" t="s">
        <v>2236</v>
      </c>
      <c r="E62" s="192" t="s">
        <v>2237</v>
      </c>
      <c r="F62" s="2485"/>
      <c r="G62" s="2485"/>
      <c r="H62" s="2493"/>
      <c r="I62" s="138"/>
    </row>
    <row r="63" spans="1:35" ht="12.75">
      <c r="A63" s="203" t="s">
        <v>775</v>
      </c>
      <c r="B63" s="193" t="s">
        <v>2238</v>
      </c>
      <c r="C63" s="194">
        <f ca="1">ROUND((C64+C65)/(1+'数据-取费表'!C42),0)</f>
        <v>258849</v>
      </c>
      <c r="D63" s="195"/>
      <c r="E63" s="196"/>
      <c r="F63" s="2485"/>
      <c r="G63" s="2485"/>
      <c r="H63" s="2493"/>
      <c r="I63" s="138"/>
      <c r="J63" s="3307" t="s">
        <v>2239</v>
      </c>
      <c r="K63" s="2495" t="s">
        <v>2240</v>
      </c>
      <c r="L63" s="1749">
        <f ca="1">IF(M49&gt;10000,M49*0.5%,IF(AND(M49&gt;1000,M49&lt;=10000),M49*1%,IF(AND(M49&gt;100,M49&lt;=1000),M49*3%,IF(AND(M49&gt;10,M49&lt;=100),M49*5%,M49*8%))))</f>
        <v>1358.9549999999999</v>
      </c>
      <c r="M63" s="24">
        <f ca="1">ROUND(L63,1)</f>
        <v>1359</v>
      </c>
      <c r="Z63" s="2419"/>
      <c r="AI63" s="2420"/>
    </row>
    <row r="64" spans="1:35" ht="14.25" customHeight="1">
      <c r="A64" s="197" t="s">
        <v>770</v>
      </c>
      <c r="B64" s="198" t="s">
        <v>2241</v>
      </c>
      <c r="C64" s="199">
        <f ca="1">D45</f>
        <v>271791</v>
      </c>
      <c r="D64" s="200" t="s">
        <v>32</v>
      </c>
      <c r="E64" s="201"/>
      <c r="F64" s="2485"/>
      <c r="G64" s="2485"/>
      <c r="H64" s="2493"/>
      <c r="I64" s="138"/>
      <c r="J64" s="3307"/>
      <c r="K64" s="2495" t="s">
        <v>2242</v>
      </c>
      <c r="L64" s="1749">
        <f ca="1">IF(M49&gt;2000,M49*0.5%,IF(AND(M49&gt;1000,M49&lt;=2000),M49*0.6%,IF(AND(M49&gt;500,M49&lt;=1000),M49*0.7%,IF(AND(M49&gt;200,M49&lt;=500),M49*0.8%,IF(AND(M49&gt;100,M49&lt;=200),M49*0.9%,IF(AND(M49&gt;50,M49&lt;=100),M49*1%,IF(AND(M49&gt;20,M49&lt;=50),M49*1.5%,IF(AND(M49&gt;10,M49&lt;=20),M49*2%,IF(AND(M49&gt;1,M49&lt;=10),M49*2.5%)))))))))</f>
        <v>1358.9549999999999</v>
      </c>
      <c r="M64" s="24">
        <f t="shared" ref="M64:M65" ca="1" si="1">ROUND(L64,1)</f>
        <v>1359</v>
      </c>
      <c r="N64" s="138" t="s">
        <v>2243</v>
      </c>
      <c r="Z64" s="2419"/>
      <c r="AI64" s="2420"/>
    </row>
    <row r="65" spans="1:35" ht="14.25" customHeight="1">
      <c r="A65" s="197" t="s">
        <v>771</v>
      </c>
      <c r="B65" s="198" t="s">
        <v>2244</v>
      </c>
      <c r="C65" s="202"/>
      <c r="D65" s="200"/>
      <c r="E65" s="201"/>
      <c r="F65" s="2485"/>
      <c r="G65" s="2485"/>
      <c r="H65" s="2493"/>
      <c r="I65" s="138"/>
      <c r="J65" s="3307"/>
      <c r="K65" s="2495" t="s">
        <v>2245</v>
      </c>
      <c r="L65" s="1749">
        <f ca="1">IF(M49&gt;1000,M49*0.1%,IF(AND(M49&gt;500,M49&lt;=1000),M49*0.5%,IF(AND(M49&gt;50,M49&lt;=500),M49*1%,IF(AND(M49&gt;1,M49&lt;=50),M49*1.5%))))</f>
        <v>271.791</v>
      </c>
      <c r="M65" s="24">
        <f t="shared" ca="1" si="1"/>
        <v>271.8</v>
      </c>
      <c r="N65" s="138" t="s">
        <v>2243</v>
      </c>
      <c r="Z65" s="2419"/>
      <c r="AI65" s="2420"/>
    </row>
    <row r="66" spans="1:35" ht="14.25" customHeight="1">
      <c r="A66" s="203" t="s">
        <v>772</v>
      </c>
      <c r="B66" s="204" t="s">
        <v>2246</v>
      </c>
      <c r="C66" s="205"/>
      <c r="D66" s="206" t="s">
        <v>32</v>
      </c>
      <c r="E66" s="1773" t="s">
        <v>1371</v>
      </c>
      <c r="F66" s="2485"/>
      <c r="G66" s="2485"/>
      <c r="H66" s="2493"/>
      <c r="I66" s="138"/>
      <c r="J66" s="3307"/>
      <c r="K66" s="2495" t="s">
        <v>2247</v>
      </c>
      <c r="L66" s="1749">
        <f ca="1">M49*0.5%</f>
        <v>1358.9549999999999</v>
      </c>
      <c r="M66" s="24">
        <f ca="1">IF(L66&gt;0.5,0.5,ROUND(L66,0))</f>
        <v>0.5</v>
      </c>
      <c r="N66" s="138" t="s">
        <v>2248</v>
      </c>
      <c r="Z66" s="2419"/>
      <c r="AI66" s="2420"/>
    </row>
    <row r="67" spans="1:35" ht="14.25" customHeight="1">
      <c r="A67" s="203" t="s">
        <v>773</v>
      </c>
      <c r="B67" s="204" t="s">
        <v>2249</v>
      </c>
      <c r="C67" s="207">
        <f ca="1">C63-C66</f>
        <v>258849</v>
      </c>
      <c r="D67" s="200" t="s">
        <v>32</v>
      </c>
      <c r="E67" s="201"/>
      <c r="F67" s="2485"/>
      <c r="G67" s="2485"/>
      <c r="H67" s="2493"/>
      <c r="I67" s="138"/>
      <c r="J67" s="3307"/>
      <c r="K67" s="2495" t="s">
        <v>2250</v>
      </c>
      <c r="L67" s="1749">
        <f ca="1">IF(M49&gt;=10000,(8.25+(M49-10000)*0.01%),IF(AND(M49&gt;=8000,M49&lt;10000),(7.85+(M49-8000)*0.02%),IF(AND(M49&gt;=5000,M49&lt;8000),(6.65+(M49-5000)*0.04%),IF(AND(M49&gt;=2000,M49&lt;5000),(4.25+(PM49-2000)*0.08%),IF(AND(M49&gt;=1000,M49&lt;2000),(2.75+(M49-1000)*0.15%),IF(AND(M49&gt;=100,M49&lt;1000),(0.5+(M49-100)*0.25%),IF(AND(M49&gt;0,M49&lt;100),M49*0.5%)))))))</f>
        <v>34.429100000000005</v>
      </c>
      <c r="M67" s="24">
        <f ca="1">ROUND(L67*0.9,1)</f>
        <v>31</v>
      </c>
      <c r="Z67" s="2419"/>
      <c r="AI67" s="2420"/>
    </row>
    <row r="68" spans="1:35" ht="14.25" customHeight="1" thickBot="1">
      <c r="A68" s="208" t="s">
        <v>774</v>
      </c>
      <c r="B68" s="209" t="s">
        <v>2251</v>
      </c>
      <c r="C68" s="210">
        <f ca="1">IF(C67&lt;=0,0,ROUND(C67*D68,0))</f>
        <v>14237</v>
      </c>
      <c r="D68" s="211">
        <f>'数据-取费表'!B41</f>
        <v>5.5000000000000007E-2</v>
      </c>
      <c r="E68" s="212"/>
      <c r="F68" s="2485"/>
      <c r="G68" s="2485"/>
      <c r="H68" s="2493"/>
      <c r="I68" s="138"/>
      <c r="J68" s="3307"/>
      <c r="K68" s="2495" t="s">
        <v>2252</v>
      </c>
      <c r="L68" s="1749">
        <f ca="1">IF(M49&gt;10000,M49*0.5%,IF(AND(M49&gt;5000,M49&lt;=10000),M49*1%,IF(AND(M49&gt;1000,M49&lt;=5000),M49*2%,IF(AND(M49&gt;200,M49&lt;=1000),M49*3%,M49*5%))))</f>
        <v>1358.9549999999999</v>
      </c>
      <c r="M68" s="24">
        <f ca="1">ROUND(L68,1)</f>
        <v>1359</v>
      </c>
      <c r="Z68" s="2419"/>
      <c r="AI68" s="2420"/>
    </row>
    <row r="69" spans="1:35" s="2442" customFormat="1" ht="16.5" customHeight="1">
      <c r="A69" s="2496"/>
      <c r="B69" s="2497"/>
      <c r="C69" s="2498"/>
      <c r="D69" s="2499"/>
      <c r="E69" s="2500"/>
      <c r="F69" s="2164"/>
      <c r="G69" s="2164"/>
      <c r="H69" s="2163"/>
      <c r="I69" s="2414"/>
      <c r="J69" s="3307"/>
      <c r="K69" s="2495" t="s">
        <v>2253</v>
      </c>
      <c r="L69" s="2501"/>
      <c r="M69" s="24">
        <f ca="1">ROUND(SUM(M63:M68),0)</f>
        <v>4380</v>
      </c>
      <c r="N69" s="1750">
        <f ca="1">M69/M49</f>
        <v>1.6115323906972637E-2</v>
      </c>
      <c r="O69" s="795"/>
      <c r="P69" s="795"/>
      <c r="Q69" s="795"/>
      <c r="R69" s="795"/>
      <c r="S69" s="795"/>
      <c r="T69" s="795"/>
      <c r="U69" s="795"/>
      <c r="V69" s="795"/>
      <c r="W69" s="795"/>
      <c r="X69" s="795"/>
      <c r="Y69" s="795"/>
      <c r="Z69" s="2419"/>
      <c r="AA69" s="2419"/>
      <c r="AB69" s="2419"/>
      <c r="AC69" s="2419"/>
      <c r="AD69" s="2419"/>
      <c r="AE69" s="2419"/>
      <c r="AF69" s="2419"/>
      <c r="AG69" s="2419"/>
      <c r="AH69" s="2419"/>
    </row>
    <row r="70" spans="1:35" s="2503" customFormat="1" ht="15" thickBot="1">
      <c r="A70" s="3266" t="s">
        <v>2254</v>
      </c>
      <c r="B70" s="3267"/>
      <c r="C70" s="3267"/>
      <c r="D70" s="3267"/>
      <c r="E70" s="3267"/>
      <c r="F70" s="3267"/>
      <c r="G70" s="3267"/>
      <c r="H70" s="3267"/>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245" t="s">
        <v>2235</v>
      </c>
      <c r="B71" s="3246"/>
      <c r="C71" s="1801"/>
      <c r="D71" s="1801" t="s">
        <v>2236</v>
      </c>
      <c r="E71" s="213" t="s">
        <v>2237</v>
      </c>
      <c r="F71" s="214"/>
      <c r="G71" s="214"/>
      <c r="H71" s="215"/>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3" t="s">
        <v>775</v>
      </c>
      <c r="B72" s="204" t="s">
        <v>2255</v>
      </c>
      <c r="C72" s="207">
        <f ca="1">ROUND(D45/(1+'数据-取费表'!C42),0)</f>
        <v>258849</v>
      </c>
      <c r="D72" s="200" t="s">
        <v>32</v>
      </c>
      <c r="E72" s="1800"/>
      <c r="F72" s="1794"/>
      <c r="G72" s="1794"/>
      <c r="H72" s="216"/>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3" t="s">
        <v>772</v>
      </c>
      <c r="B73" s="173" t="s">
        <v>2256</v>
      </c>
      <c r="C73" s="207">
        <f ca="1">C74+C78</f>
        <v>1294</v>
      </c>
      <c r="D73" s="200" t="s">
        <v>32</v>
      </c>
      <c r="E73" s="1800"/>
      <c r="F73" s="1794"/>
      <c r="G73" s="1794"/>
      <c r="H73" s="216"/>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7" t="s">
        <v>770</v>
      </c>
      <c r="B74" s="198" t="s">
        <v>2257</v>
      </c>
      <c r="C74" s="200">
        <f>ROUND(IF(G77="2016年5月1日后购买",C75/(1+'数据-取费表'!C42)+C76+C77,C75+C76+C77),0)</f>
        <v>0</v>
      </c>
      <c r="D74" s="200" t="s">
        <v>32</v>
      </c>
      <c r="E74" s="1800"/>
      <c r="F74" s="1794"/>
      <c r="G74" s="1794"/>
      <c r="H74" s="216"/>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7" t="s">
        <v>776</v>
      </c>
      <c r="B75" s="198" t="s">
        <v>2258</v>
      </c>
      <c r="C75" s="218"/>
      <c r="D75" s="200" t="s">
        <v>32</v>
      </c>
      <c r="E75" s="219" t="s">
        <v>2259</v>
      </c>
      <c r="F75" s="2507" t="s">
        <v>2260</v>
      </c>
      <c r="G75" s="219" t="s">
        <v>2261</v>
      </c>
      <c r="H75" s="220"/>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7" t="s">
        <v>777</v>
      </c>
      <c r="B76" s="221" t="s">
        <v>2262</v>
      </c>
      <c r="C76" s="200">
        <f>IF(F75="购房发票",ROUND(C75*H75*D76,0),0)</f>
        <v>0</v>
      </c>
      <c r="D76" s="222">
        <v>0.05</v>
      </c>
      <c r="E76" s="3240" t="s">
        <v>2263</v>
      </c>
      <c r="F76" s="3217"/>
      <c r="G76" s="3217"/>
      <c r="H76" s="3265"/>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7" t="s">
        <v>778</v>
      </c>
      <c r="B77" s="198" t="s">
        <v>2264</v>
      </c>
      <c r="C77" s="200">
        <f>ROUND(IF(G77="个人住宅",0,IF(G77="2016年5月1日前购买",C75*D77,C75*D77/(1+'数据-取费表'!C42))),0)</f>
        <v>0</v>
      </c>
      <c r="D77" s="223">
        <f>'数据-取费表'!B48+'数据-取费表'!B49</f>
        <v>3.0499999999999999E-2</v>
      </c>
      <c r="E77" s="15" t="s">
        <v>2265</v>
      </c>
      <c r="F77" s="224"/>
      <c r="G77" s="2509" t="s">
        <v>2266</v>
      </c>
      <c r="H77" s="1805"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7" t="s">
        <v>771</v>
      </c>
      <c r="B78" s="198" t="s">
        <v>2267</v>
      </c>
      <c r="C78" s="225">
        <f ca="1">ROUND(D45*D78/(1+'数据-取费表'!C42),0)</f>
        <v>1294</v>
      </c>
      <c r="D78" s="226">
        <f>'数据-取费表'!B43</f>
        <v>5.000000000000001E-3</v>
      </c>
      <c r="E78" s="3226" t="s">
        <v>2268</v>
      </c>
      <c r="F78" s="3227"/>
      <c r="G78" s="3227"/>
      <c r="H78" s="3236"/>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779</v>
      </c>
      <c r="B79" s="204" t="s">
        <v>2269</v>
      </c>
      <c r="C79" s="207">
        <f ca="1">C72-C73</f>
        <v>257555</v>
      </c>
      <c r="D79" s="200" t="s">
        <v>32</v>
      </c>
      <c r="E79" s="1800"/>
      <c r="F79" s="1794"/>
      <c r="G79" s="1794"/>
      <c r="H79" s="216"/>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780</v>
      </c>
      <c r="B80" s="204" t="s">
        <v>2270</v>
      </c>
      <c r="C80" s="227">
        <f ca="1">IF(C79&lt;=0,0,C79/C73)</f>
        <v>199.03786707882534</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781</v>
      </c>
      <c r="B81" s="209" t="s">
        <v>2271</v>
      </c>
      <c r="C81" s="228">
        <f ca="1">ROUND(IF(C79&lt;=0,0,IF(C80&gt;=200%,C79*60%-C73*35%,IF(C80&gt;=100%,C79*50%-C73*15%,IF(C80&gt;=50%,C79*40%-C73*5%,IF(C80&lt;50%,C79*30%,0))))),0)</f>
        <v>154080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33"/>
      <c r="B82" s="734"/>
      <c r="C82" s="7"/>
      <c r="D82" s="7"/>
      <c r="E82" s="734"/>
      <c r="F82" s="734"/>
      <c r="G82" s="734"/>
      <c r="H82" s="735"/>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266" t="s">
        <v>2272</v>
      </c>
      <c r="B83" s="3267"/>
      <c r="C83" s="3267"/>
      <c r="D83" s="3267"/>
      <c r="E83" s="3267"/>
      <c r="F83" s="3267"/>
      <c r="G83" s="3267"/>
      <c r="H83" s="3267"/>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245" t="s">
        <v>2235</v>
      </c>
      <c r="B84" s="3246"/>
      <c r="C84" s="1801"/>
      <c r="D84" s="1801" t="s">
        <v>2236</v>
      </c>
      <c r="E84" s="213" t="s">
        <v>2237</v>
      </c>
      <c r="F84" s="214"/>
      <c r="G84" s="214"/>
      <c r="H84" s="233"/>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3" t="s">
        <v>775</v>
      </c>
      <c r="B85" s="204" t="s">
        <v>2255</v>
      </c>
      <c r="C85" s="207">
        <f ca="1">ROUND(D45/(1+'数据-取费表'!C42),0)</f>
        <v>258849</v>
      </c>
      <c r="D85" s="200" t="s">
        <v>32</v>
      </c>
      <c r="E85" s="1800"/>
      <c r="F85" s="1794"/>
      <c r="G85" s="1794"/>
      <c r="H85" s="234"/>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3" t="s">
        <v>772</v>
      </c>
      <c r="B86" s="173" t="s">
        <v>2256</v>
      </c>
      <c r="C86" s="207">
        <f ca="1">IF(H88="仅含出让金",C87+C90+C91+C92+C93+C94,C87+C91+C92+C93+C94)</f>
        <v>1294</v>
      </c>
      <c r="D86" s="235"/>
      <c r="E86" s="1800"/>
      <c r="F86" s="1794"/>
      <c r="G86" s="1794"/>
      <c r="H86" s="234"/>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7" t="s">
        <v>770</v>
      </c>
      <c r="B87" s="198" t="s">
        <v>2273</v>
      </c>
      <c r="C87" s="225">
        <f>C88+C89</f>
        <v>0</v>
      </c>
      <c r="D87" s="226"/>
      <c r="E87" s="1796"/>
      <c r="F87" s="1797"/>
      <c r="G87" s="1797"/>
      <c r="H87" s="1799"/>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7" t="s">
        <v>776</v>
      </c>
      <c r="B88" s="198" t="s">
        <v>2274</v>
      </c>
      <c r="C88" s="236"/>
      <c r="D88" s="226"/>
      <c r="E88" s="237" t="s">
        <v>2275</v>
      </c>
      <c r="F88" s="1797"/>
      <c r="G88" s="238" t="s">
        <v>2276</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7" t="s">
        <v>777</v>
      </c>
      <c r="B89" s="198" t="s">
        <v>2264</v>
      </c>
      <c r="C89" s="225">
        <f>ROUND(C88*D89,0)</f>
        <v>0</v>
      </c>
      <c r="D89" s="226">
        <f>'数据-取费表'!B48+'数据-取费表'!B49</f>
        <v>3.0499999999999999E-2</v>
      </c>
      <c r="E89" s="237" t="s">
        <v>2277</v>
      </c>
      <c r="F89" s="1797"/>
      <c r="G89" s="1797"/>
      <c r="H89" s="1799"/>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7" t="s">
        <v>771</v>
      </c>
      <c r="B90" s="198" t="s">
        <v>2278</v>
      </c>
      <c r="C90" s="236"/>
      <c r="D90" s="226"/>
      <c r="E90" s="237" t="str">
        <f>IF(H88="-","土地取得成本中已包含该笔费用"," ")</f>
        <v xml:space="preserve"> </v>
      </c>
      <c r="F90" s="1797"/>
      <c r="G90" s="1797"/>
      <c r="H90" s="1799"/>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7" t="s">
        <v>2279</v>
      </c>
      <c r="B91" s="198" t="s">
        <v>2280</v>
      </c>
      <c r="C91" s="225">
        <f>IF(H91="——",成本法!C33,I91)</f>
        <v>0</v>
      </c>
      <c r="D91" s="226"/>
      <c r="E91" s="3226" t="s">
        <v>2281</v>
      </c>
      <c r="F91" s="3227"/>
      <c r="G91" s="3227"/>
      <c r="H91" s="2514" t="s">
        <v>2282</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7" t="s">
        <v>2283</v>
      </c>
      <c r="B92" s="198" t="s">
        <v>2284</v>
      </c>
      <c r="C92" s="225">
        <f>ROUND((C87+C90+C91)*D92,0)</f>
        <v>0</v>
      </c>
      <c r="D92" s="226">
        <v>0.1</v>
      </c>
      <c r="E92" s="3226" t="s">
        <v>2285</v>
      </c>
      <c r="F92" s="3227"/>
      <c r="G92" s="3227"/>
      <c r="H92" s="3236"/>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7" t="s">
        <v>2286</v>
      </c>
      <c r="B93" s="198" t="s">
        <v>2267</v>
      </c>
      <c r="C93" s="225">
        <f ca="1">ROUND(D45*D93/(1+'数据-取费表'!C42),0)</f>
        <v>1294</v>
      </c>
      <c r="D93" s="226">
        <f>'数据-取费表'!B43</f>
        <v>5.000000000000001E-3</v>
      </c>
      <c r="E93" s="3226" t="s">
        <v>2268</v>
      </c>
      <c r="F93" s="3227"/>
      <c r="G93" s="3227"/>
      <c r="H93" s="3236"/>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7" t="s">
        <v>2287</v>
      </c>
      <c r="B94" s="198" t="s">
        <v>2288</v>
      </c>
      <c r="C94" s="236">
        <f>ROUND((C87+C90+C91)*D94,0)</f>
        <v>0</v>
      </c>
      <c r="D94" s="226">
        <v>0.2</v>
      </c>
      <c r="E94" s="3237" t="s">
        <v>2289</v>
      </c>
      <c r="F94" s="3238"/>
      <c r="G94" s="3238"/>
      <c r="H94" s="3239"/>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779</v>
      </c>
      <c r="B95" s="204" t="s">
        <v>2269</v>
      </c>
      <c r="C95" s="207">
        <f ca="1">ROUND(C85-C86,0)</f>
        <v>257555</v>
      </c>
      <c r="D95" s="200" t="s">
        <v>32</v>
      </c>
      <c r="E95" s="1800"/>
      <c r="F95" s="1794"/>
      <c r="G95" s="1794"/>
      <c r="H95" s="234"/>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780</v>
      </c>
      <c r="B96" s="204" t="s">
        <v>2270</v>
      </c>
      <c r="C96" s="227">
        <f ca="1">IF(C95&lt;=0,0,C95/C86)</f>
        <v>199.03786707882534</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781</v>
      </c>
      <c r="B97" s="209" t="s">
        <v>2271</v>
      </c>
      <c r="C97" s="228">
        <f ca="1">ROUND(IF(C95&lt;=0,0,IF(C96&gt;=200%,C95*60%-C86*35%,IF(C96&gt;=100%,C95*50%-C86*15%,IF(C96&gt;=50%,C95*40%-C86*5%,IF(C96&lt;50%,C95*30%,0))))),0)</f>
        <v>154080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4"/>
      <c r="F98" s="2164"/>
      <c r="G98" s="2164"/>
      <c r="H98" s="2163"/>
      <c r="I98" s="138"/>
    </row>
    <row r="99" spans="1:35" ht="21.75" customHeight="1" thickBot="1">
      <c r="A99" s="2470" t="s">
        <v>2290</v>
      </c>
      <c r="B99" s="2414"/>
      <c r="C99" s="2414"/>
      <c r="D99" s="2414"/>
      <c r="E99" s="2164"/>
      <c r="F99" s="2164"/>
      <c r="G99" s="2164"/>
      <c r="H99" s="2163"/>
      <c r="I99" s="138"/>
    </row>
    <row r="100" spans="1:35" ht="18.75" customHeight="1">
      <c r="A100" s="3211" t="s">
        <v>2291</v>
      </c>
      <c r="B100" s="3212"/>
      <c r="C100" s="3212"/>
      <c r="D100" s="3228"/>
      <c r="E100" s="3212" t="s">
        <v>2292</v>
      </c>
      <c r="F100" s="3212"/>
      <c r="G100" s="3212"/>
      <c r="H100" s="3228"/>
      <c r="I100" s="138"/>
    </row>
    <row r="101" spans="1:35" ht="18.75" customHeight="1">
      <c r="A101" s="3290" t="s">
        <v>2293</v>
      </c>
      <c r="B101" s="3291"/>
      <c r="C101" s="736" t="str">
        <f>C4</f>
        <v>成本法</v>
      </c>
      <c r="D101" s="737" t="str">
        <f>D4</f>
        <v>假设开发法</v>
      </c>
      <c r="E101" s="3304" t="s">
        <v>2294</v>
      </c>
      <c r="F101" s="3258"/>
      <c r="G101" s="2516" t="s">
        <v>2295</v>
      </c>
      <c r="H101" s="1045">
        <f ca="1">H118</f>
        <v>271791</v>
      </c>
      <c r="I101" s="138"/>
    </row>
    <row r="102" spans="1:35" ht="18.75" customHeight="1">
      <c r="A102" s="3260" t="s">
        <v>2296</v>
      </c>
      <c r="B102" s="2516" t="s">
        <v>2295</v>
      </c>
      <c r="C102" s="736">
        <f ca="1">C19</f>
        <v>225167</v>
      </c>
      <c r="D102" s="737">
        <f ca="1">D19</f>
        <v>302874</v>
      </c>
      <c r="E102" s="3304"/>
      <c r="F102" s="3258"/>
      <c r="G102" s="2516" t="s">
        <v>2297</v>
      </c>
      <c r="H102" s="371">
        <f ca="1">I118</f>
        <v>23161</v>
      </c>
      <c r="I102" s="138"/>
    </row>
    <row r="103" spans="1:35" ht="42.75" customHeight="1">
      <c r="A103" s="3260"/>
      <c r="B103" s="2516" t="s">
        <v>2297</v>
      </c>
      <c r="C103" s="738">
        <f ca="1">C20</f>
        <v>19188</v>
      </c>
      <c r="D103" s="739">
        <f ca="1">D20</f>
        <v>25810</v>
      </c>
      <c r="E103" s="3299" t="s">
        <v>2298</v>
      </c>
      <c r="F103" s="3300"/>
      <c r="G103" s="2517" t="s">
        <v>2299</v>
      </c>
      <c r="H103" s="1045">
        <f>IF(D36="正常操作",H104+H105+H106,H105+H106)</f>
        <v>0</v>
      </c>
      <c r="I103" s="138"/>
    </row>
    <row r="104" spans="1:35" ht="18.75" customHeight="1">
      <c r="A104" s="3260" t="s">
        <v>2300</v>
      </c>
      <c r="B104" s="2518" t="s">
        <v>2295</v>
      </c>
      <c r="C104" s="740">
        <f ca="1">H118</f>
        <v>271791</v>
      </c>
      <c r="D104" s="741"/>
      <c r="E104" s="2264" t="s">
        <v>2301</v>
      </c>
      <c r="F104" s="2256"/>
      <c r="G104" s="2517" t="s">
        <v>2299</v>
      </c>
      <c r="H104" s="1046">
        <f>IF(D36="同一抵押权人同一抵押物续贷",C36&amp;"（未扣减，详见特别提示）",C36)</f>
        <v>0</v>
      </c>
      <c r="I104" s="138"/>
    </row>
    <row r="105" spans="1:35" ht="18.75" customHeight="1" thickBot="1">
      <c r="A105" s="3261"/>
      <c r="B105" s="2519" t="s">
        <v>2297</v>
      </c>
      <c r="C105" s="742">
        <f ca="1">I118</f>
        <v>23161</v>
      </c>
      <c r="D105" s="743"/>
      <c r="E105" s="2264" t="s">
        <v>2302</v>
      </c>
      <c r="F105" s="2256"/>
      <c r="G105" s="2517" t="s">
        <v>2299</v>
      </c>
      <c r="H105" s="1046">
        <f>C37</f>
        <v>0</v>
      </c>
      <c r="I105" s="138"/>
    </row>
    <row r="106" spans="1:35" ht="18.75" customHeight="1">
      <c r="A106" s="2414" t="s">
        <v>2303</v>
      </c>
      <c r="B106" s="2414"/>
      <c r="C106" s="2414"/>
      <c r="D106" s="2414"/>
      <c r="E106" s="2520" t="s">
        <v>2304</v>
      </c>
      <c r="F106" s="2256"/>
      <c r="G106" s="2517" t="s">
        <v>2299</v>
      </c>
      <c r="H106" s="1046">
        <f>C38</f>
        <v>0</v>
      </c>
      <c r="I106" s="138"/>
    </row>
    <row r="107" spans="1:35" ht="18.75" customHeight="1">
      <c r="A107" s="138"/>
      <c r="B107" s="138"/>
      <c r="C107" s="138"/>
      <c r="D107" s="138"/>
      <c r="E107" s="3257" t="str">
        <f>IF(项目基本情况!E8="已注销","——","3.房地产抵押价值")</f>
        <v>3.房地产抵押价值</v>
      </c>
      <c r="F107" s="3258"/>
      <c r="G107" s="2516" t="s">
        <v>2295</v>
      </c>
      <c r="H107" s="1045">
        <f ca="1">IF(E107="——","——",H101-H103)</f>
        <v>271791</v>
      </c>
      <c r="I107" s="138"/>
    </row>
    <row r="108" spans="1:35" ht="18.75" customHeight="1">
      <c r="A108" s="138"/>
      <c r="B108" s="138"/>
      <c r="C108" s="138"/>
      <c r="D108" s="138"/>
      <c r="E108" s="3257"/>
      <c r="F108" s="3258"/>
      <c r="G108" s="2516" t="s">
        <v>2297</v>
      </c>
      <c r="H108" s="371">
        <f ca="1">ROUND(H107*10000/'数据-汇总表'!E3,0)</f>
        <v>23161</v>
      </c>
      <c r="I108" s="138"/>
    </row>
    <row r="109" spans="1:35" ht="18.75" customHeight="1">
      <c r="A109" s="138"/>
      <c r="B109" s="138"/>
      <c r="C109" s="138"/>
      <c r="D109" s="138"/>
      <c r="E109" s="3257" t="str">
        <f>IF(项目基本情况!E8="已注销及未注销","4.抵押担保权已注销时的房地产抵押价值",IF(项目基本情况!E8="已注销","3.抵押担保权已注销时的房地产抵押价值","——"))</f>
        <v>——</v>
      </c>
      <c r="F109" s="3258"/>
      <c r="G109" s="2516" t="s">
        <v>2295</v>
      </c>
      <c r="H109" s="348" t="str">
        <f>IF(E109="——","——",H101-H105-H106)</f>
        <v>——</v>
      </c>
      <c r="I109" s="138"/>
    </row>
    <row r="110" spans="1:35" ht="18.75" customHeight="1">
      <c r="A110" s="138"/>
      <c r="B110" s="138"/>
      <c r="C110" s="138"/>
      <c r="D110" s="138"/>
      <c r="E110" s="3257"/>
      <c r="F110" s="3258"/>
      <c r="G110" s="2516" t="s">
        <v>2297</v>
      </c>
      <c r="H110" s="371" t="str">
        <f>IF(H109="——","——",ROUND(H109*10000/'数据-汇总表'!E3,0))</f>
        <v>——</v>
      </c>
      <c r="I110" s="138"/>
    </row>
    <row r="111" spans="1:35" ht="18.75" customHeight="1">
      <c r="A111" s="138"/>
      <c r="B111" s="138"/>
      <c r="C111" s="138"/>
      <c r="D111" s="138"/>
      <c r="E111" s="3292" t="str">
        <f>IF(项目基本情况!E9="抵押净值",IF(OR(项目基本情况!E8="已注销",项目基本情况!E8="房地产抵押价值"),"4.抵押净值","5.抵押净值"),"——")</f>
        <v>——</v>
      </c>
      <c r="F111" s="3293"/>
      <c r="G111" s="2516" t="s">
        <v>2295</v>
      </c>
      <c r="H111" s="1045" t="str">
        <f>IF(E111="——","——",N59)</f>
        <v>——</v>
      </c>
      <c r="I111" s="138"/>
    </row>
    <row r="112" spans="1:35" ht="18.75" customHeight="1" thickBot="1">
      <c r="A112" s="138"/>
      <c r="B112" s="138"/>
      <c r="C112" s="138"/>
      <c r="D112" s="138"/>
      <c r="E112" s="3294"/>
      <c r="F112" s="3295"/>
      <c r="G112" s="2521" t="s">
        <v>2297</v>
      </c>
      <c r="H112" s="790" t="str">
        <f>IF(E111="——","——",N61)</f>
        <v>——</v>
      </c>
      <c r="I112" s="138"/>
    </row>
    <row r="113" spans="1:11" ht="18.75" customHeight="1">
      <c r="A113" s="138"/>
      <c r="B113" s="138"/>
      <c r="C113" s="138"/>
      <c r="D113" s="138"/>
      <c r="E113" s="3262" t="s">
        <v>2303</v>
      </c>
      <c r="F113" s="3262"/>
      <c r="G113" s="3262"/>
      <c r="H113" s="3262"/>
      <c r="I113" s="138"/>
    </row>
    <row r="114" spans="1:11" ht="3.75" customHeight="1">
      <c r="A114" s="2414"/>
      <c r="B114" s="2414"/>
      <c r="C114" s="2414"/>
      <c r="D114" s="2414"/>
      <c r="E114" s="2492"/>
      <c r="F114" s="2492"/>
      <c r="G114" s="2492"/>
      <c r="H114" s="2492"/>
      <c r="I114" s="2414"/>
    </row>
    <row r="115" spans="1:11" ht="18.75" customHeight="1">
      <c r="A115" s="3275" t="s">
        <v>2305</v>
      </c>
      <c r="B115" s="3276"/>
      <c r="C115" s="3276"/>
      <c r="D115" s="3276"/>
      <c r="E115" s="3276"/>
      <c r="F115" s="3276"/>
      <c r="G115" s="3276"/>
      <c r="H115" s="3276"/>
      <c r="I115" s="3277"/>
    </row>
    <row r="116" spans="1:11" ht="27" customHeight="1">
      <c r="A116" s="3151" t="s">
        <v>2306</v>
      </c>
      <c r="B116" s="3263" t="s">
        <v>2307</v>
      </c>
      <c r="C116" s="3263" t="s">
        <v>2308</v>
      </c>
      <c r="D116" s="3279" t="s">
        <v>2309</v>
      </c>
      <c r="E116" s="3280"/>
      <c r="F116" s="3271" t="s">
        <v>2310</v>
      </c>
      <c r="G116" s="3271"/>
      <c r="H116" s="3151" t="s">
        <v>2311</v>
      </c>
      <c r="I116" s="3151"/>
    </row>
    <row r="117" spans="1:11" ht="18.75" customHeight="1">
      <c r="A117" s="3151"/>
      <c r="B117" s="3264"/>
      <c r="C117" s="3264"/>
      <c r="D117" s="1795" t="s">
        <v>2312</v>
      </c>
      <c r="E117" s="1795" t="s">
        <v>2313</v>
      </c>
      <c r="F117" s="1795" t="s">
        <v>2312</v>
      </c>
      <c r="G117" s="1795" t="s">
        <v>2314</v>
      </c>
      <c r="H117" s="1795" t="s">
        <v>2312</v>
      </c>
      <c r="I117" s="1795" t="s">
        <v>2314</v>
      </c>
    </row>
    <row r="118" spans="1:11" ht="24.75" customHeight="1">
      <c r="A118" s="2522" t="str">
        <f>项目基本情况!S2</f>
        <v>北京市昌平区北七家镇GZT-05-1地块出让国有建设用地使用权及在建建筑物房地产</v>
      </c>
      <c r="B118" s="1795">
        <f>M18</f>
        <v>117348.15999999993</v>
      </c>
      <c r="C118" s="1795">
        <f>M19</f>
        <v>31136.97</v>
      </c>
      <c r="D118" s="1795">
        <f ca="1">ROUND(IF(D32="总价",C34,E118*B118/10000),0)</f>
        <v>239448</v>
      </c>
      <c r="E118" s="1795">
        <f ca="1">ROUND(IF(C33="自定义",IF(D32="楼面单价",C34,D118*10000/B118),I118-G118),0)</f>
        <v>20405</v>
      </c>
      <c r="F118" s="1795">
        <f ca="1">ROUND(IF(D32="总价",C35,G118*B118/10000),0)</f>
        <v>32343</v>
      </c>
      <c r="G118" s="1795">
        <f ca="1">ROUND(IF(D32="楼面单价",C35,F118*10000/B118),0)</f>
        <v>2756</v>
      </c>
      <c r="H118" s="1795">
        <f ca="1">ROUND(IF(D32="总价",C32,I118*B118/10000),0)</f>
        <v>271791</v>
      </c>
      <c r="I118" s="1795">
        <f ca="1">ROUND(IF(D32="楼面单价",C32,H118*10000/B118),0)</f>
        <v>23161</v>
      </c>
    </row>
    <row r="119" spans="1:11" ht="18.75" customHeight="1">
      <c r="A119" s="3151" t="s">
        <v>2315</v>
      </c>
      <c r="B119" s="3151"/>
      <c r="C119" s="3151"/>
      <c r="D119" s="3268" t="str">
        <f ca="1">NUMBERSTRING(INT(D118*10000),2)&amp;"元整"</f>
        <v>贰拾叁亿玖仟肆佰肆拾捌万元整</v>
      </c>
      <c r="E119" s="3270"/>
      <c r="F119" s="3268" t="str">
        <f ca="1">NUMBERSTRING(INT(F118*10000),2)&amp;"元整"</f>
        <v>叁亿贰仟叁佰肆拾叁万元整</v>
      </c>
      <c r="G119" s="3270"/>
      <c r="H119" s="3268" t="str">
        <f ca="1">NUMBERSTRING(INT(H118*10000),2)&amp;"元整"</f>
        <v>贰拾柒亿壹仟柒佰玖拾壹万元整</v>
      </c>
      <c r="I119" s="3270"/>
    </row>
    <row r="120" spans="1:11" ht="18.75" customHeight="1">
      <c r="A120" s="3296" t="str">
        <f>IF(项目基本情况!B9="房地产市场价值","",MID(E103,3,LEN(E103)-2))</f>
        <v>估价师知悉的法定优先受偿款</v>
      </c>
      <c r="B120" s="3297"/>
      <c r="C120" s="3298"/>
      <c r="D120" s="3296">
        <f>H103</f>
        <v>0</v>
      </c>
      <c r="E120" s="3297"/>
      <c r="F120" s="3297"/>
      <c r="G120" s="3297"/>
      <c r="H120" s="3297"/>
      <c r="I120" s="3298"/>
      <c r="K120" s="2419" t="str">
        <f>IF(D120=0,"故，本次评估不存在"&amp;A120,"故，本次评估"&amp;A120&amp;"为人民币"&amp;D120&amp;"万元整。")</f>
        <v>故，本次评估不存在估价师知悉的法定优先受偿款</v>
      </c>
    </row>
    <row r="121" spans="1:11" ht="18.75" customHeight="1">
      <c r="A121" s="3272" t="s">
        <v>2315</v>
      </c>
      <c r="B121" s="3273"/>
      <c r="C121" s="3274"/>
      <c r="D121" s="3268" t="str">
        <f>IF(D120=0,"零元整",NUMBERSTRING(INT(D120*10000),2)&amp;"元整")</f>
        <v>零元整</v>
      </c>
      <c r="E121" s="3269"/>
      <c r="F121" s="3269"/>
      <c r="G121" s="3269"/>
      <c r="H121" s="3269"/>
      <c r="I121" s="3270"/>
    </row>
    <row r="122" spans="1:11" ht="18.75" customHeight="1">
      <c r="A122" s="3259" t="str">
        <f>IF(项目基本情况!B9="房地产市场价值","",MID(E107,3,LEN(E107)-2))</f>
        <v>房地产抵押价值</v>
      </c>
      <c r="B122" s="3259"/>
      <c r="C122" s="3259"/>
      <c r="D122" s="3296">
        <f ca="1">H107</f>
        <v>271791</v>
      </c>
      <c r="E122" s="3297"/>
      <c r="F122" s="3297"/>
      <c r="G122" s="3297"/>
      <c r="H122" s="3297"/>
      <c r="I122" s="3298"/>
    </row>
    <row r="123" spans="1:11" ht="18.75" customHeight="1">
      <c r="A123" s="3151" t="s">
        <v>2315</v>
      </c>
      <c r="B123" s="3151"/>
      <c r="C123" s="3151"/>
      <c r="D123" s="3268" t="str">
        <f ca="1">NUMBERSTRING(INT(D122*10000),2)&amp;"元整"</f>
        <v>贰拾柒亿壹仟柒佰玖拾壹万元整</v>
      </c>
      <c r="E123" s="3269"/>
      <c r="F123" s="3269"/>
      <c r="G123" s="3269"/>
      <c r="H123" s="3269"/>
      <c r="I123" s="3270"/>
    </row>
    <row r="124" spans="1:11" ht="18.75" customHeight="1">
      <c r="A124" s="3259" t="str">
        <f>IF(项目基本情况!B9="房地产市场价值","",MID(E109,3,LEN(E109)-2))</f>
        <v/>
      </c>
      <c r="B124" s="3259"/>
      <c r="C124" s="3259"/>
      <c r="D124" s="3296" t="str">
        <f>H109</f>
        <v>——</v>
      </c>
      <c r="E124" s="3297"/>
      <c r="F124" s="3297"/>
      <c r="G124" s="3297"/>
      <c r="H124" s="3297"/>
      <c r="I124" s="3298"/>
    </row>
    <row r="125" spans="1:11" ht="18.75" customHeight="1">
      <c r="A125" s="3151" t="s">
        <v>2315</v>
      </c>
      <c r="B125" s="3151"/>
      <c r="C125" s="3151"/>
      <c r="D125" s="3268" t="e">
        <f>NUMBERSTRING(INT(D124*10000),2)&amp;"元整"</f>
        <v>#VALUE!</v>
      </c>
      <c r="E125" s="3269"/>
      <c r="F125" s="3269"/>
      <c r="G125" s="3269"/>
      <c r="H125" s="3269"/>
      <c r="I125" s="3270"/>
    </row>
    <row r="126" spans="1:11" ht="18.75" customHeight="1">
      <c r="A126" s="3259" t="str">
        <f>IF(项目基本情况!B9="房地产市场价值","",MID(E111,3,LEN(E111)-2))</f>
        <v/>
      </c>
      <c r="B126" s="3259"/>
      <c r="C126" s="3259"/>
      <c r="D126" s="3296" t="str">
        <f>H111</f>
        <v>——</v>
      </c>
      <c r="E126" s="3297"/>
      <c r="F126" s="3297"/>
      <c r="G126" s="3297"/>
      <c r="H126" s="3297"/>
      <c r="I126" s="3298"/>
    </row>
    <row r="127" spans="1:11" ht="18.75" customHeight="1">
      <c r="A127" s="3151" t="s">
        <v>2315</v>
      </c>
      <c r="B127" s="3151"/>
      <c r="C127" s="3151"/>
      <c r="D127" s="3268" t="e">
        <f>NUMBERSTRING(INT(D126*10000),2)&amp;"元整"</f>
        <v>#VALUE!</v>
      </c>
      <c r="E127" s="3269"/>
      <c r="F127" s="3269"/>
      <c r="G127" s="3269"/>
      <c r="H127" s="3269"/>
      <c r="I127" s="3270"/>
    </row>
    <row r="128" spans="1:11" ht="21.75" customHeight="1">
      <c r="A128" s="3278" t="s">
        <v>2316</v>
      </c>
      <c r="B128" s="3278"/>
      <c r="C128" s="3278"/>
      <c r="D128" s="3278"/>
      <c r="E128" s="3278"/>
      <c r="F128" s="3278"/>
      <c r="G128" s="3278"/>
      <c r="H128" s="3278"/>
      <c r="I128" s="3278"/>
    </row>
    <row r="129" spans="1:35" ht="21.75" customHeight="1">
      <c r="A129" s="2523" t="s">
        <v>2317</v>
      </c>
      <c r="B129" s="2524"/>
      <c r="C129" s="2525" t="s">
        <v>2318</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5"/>
    </row>
    <row r="135" spans="1:35" ht="21.75" customHeight="1">
      <c r="A135" s="795"/>
      <c r="B135" s="795"/>
      <c r="C135" s="795"/>
      <c r="D135" s="795"/>
      <c r="E135" s="795"/>
      <c r="F135" s="2539" t="s">
        <v>2319</v>
      </c>
      <c r="G135" s="2540"/>
      <c r="H135" s="2540"/>
      <c r="I135" s="2541" t="s">
        <v>2320</v>
      </c>
    </row>
    <row r="136" spans="1:35" ht="21.75" customHeight="1">
      <c r="A136" s="795"/>
      <c r="B136" s="2542" t="s">
        <v>2321</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0"/>
      <c r="C138" s="2540"/>
      <c r="D138" s="2540"/>
      <c r="E138" s="2540"/>
      <c r="F138" s="2540"/>
      <c r="G138" s="2540"/>
      <c r="H138" s="2540"/>
      <c r="I138" s="2541" t="s">
        <v>2322</v>
      </c>
    </row>
    <row r="139" spans="1:35" ht="21.75" customHeight="1">
      <c r="A139" s="795"/>
      <c r="B139" s="2542" t="s">
        <v>2323</v>
      </c>
      <c r="C139" s="795"/>
      <c r="D139" s="795"/>
      <c r="E139" s="795"/>
      <c r="F139" s="795"/>
      <c r="G139" s="795"/>
      <c r="H139" s="795"/>
      <c r="I139" s="795"/>
    </row>
    <row r="140" spans="1:35" ht="21.75" customHeight="1">
      <c r="A140" s="795"/>
      <c r="B140" s="2542"/>
      <c r="C140" s="795"/>
      <c r="D140" s="795"/>
      <c r="E140" s="795"/>
      <c r="F140" s="795"/>
      <c r="G140" s="795"/>
      <c r="H140" s="795"/>
      <c r="I140" s="795"/>
    </row>
    <row r="141" spans="1:35" ht="21.75" customHeight="1">
      <c r="A141" s="795"/>
      <c r="B141" s="2540"/>
      <c r="C141" s="2540"/>
      <c r="D141" s="2540"/>
      <c r="E141" s="2540"/>
      <c r="F141" s="2540"/>
      <c r="G141" s="2540"/>
      <c r="H141" s="2540"/>
      <c r="I141" s="2541" t="s">
        <v>2322</v>
      </c>
    </row>
    <row r="142" spans="1:35" ht="21.75" customHeight="1">
      <c r="A142" s="795"/>
      <c r="B142" s="2542"/>
      <c r="C142" s="2543"/>
      <c r="D142" s="2544"/>
      <c r="E142" s="2544"/>
      <c r="F142" s="2338"/>
      <c r="G142" s="795"/>
      <c r="H142" s="795"/>
      <c r="I142" s="795"/>
    </row>
    <row r="143" spans="1:35" s="139" customFormat="1" ht="21.75" customHeight="1">
      <c r="A143" s="795"/>
      <c r="B143" s="2542"/>
      <c r="C143" s="2543"/>
      <c r="D143" s="2544"/>
      <c r="E143" s="2544"/>
      <c r="F143" s="2338"/>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9"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9"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9"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9"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9"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9"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9"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9"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9"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9"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9"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9"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9"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9"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9"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9"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9"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9"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9"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9"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9"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9"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9"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9"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9"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9"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9"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9"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9"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9"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9"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9"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9"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9"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9"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9"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9"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9"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9"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9"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9"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9"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9"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9"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9"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9"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9"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9"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9"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9"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9"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9"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9"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9"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9"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9"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9"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9"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9"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9"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9"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9"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9"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9"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9"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9"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9"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9"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9"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9"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9"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9"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9"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9"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9"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9"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9"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9"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9"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9"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9"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9"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9"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9"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9"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9"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9"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9"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9"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9"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9"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9"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9"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9"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9"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9"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9"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9"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9"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9"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9"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9"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9"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9"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0" workbookViewId="0">
      <selection activeCell="B3" sqref="B3"/>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2324</v>
      </c>
      <c r="B1" s="1937"/>
      <c r="C1" s="242"/>
      <c r="D1" s="242"/>
      <c r="E1" s="242"/>
      <c r="F1" s="242"/>
      <c r="G1" s="1379">
        <f>MATCH(B1,'数据-取费表'!A6:A16,0)+5</f>
        <v>12</v>
      </c>
    </row>
    <row r="2" spans="1:9" s="244" customFormat="1" ht="18" customHeight="1">
      <c r="A2" s="245" t="s">
        <v>2325</v>
      </c>
      <c r="B2" s="246">
        <f ca="1">IF(D2="——",C52,C52-E2)</f>
        <v>225167</v>
      </c>
      <c r="C2" s="243" t="s">
        <v>2326</v>
      </c>
      <c r="D2" s="2545" t="s">
        <v>70</v>
      </c>
      <c r="E2" s="1440" t="e">
        <f ca="1">SUMIF(INDIRECT("'"&amp;G2&amp;"'"&amp;"!A:A"),"承租人权益价值",INDIRECT("'"&amp;G2&amp;"'"&amp;"!c:c"))</f>
        <v>#REF!</v>
      </c>
      <c r="F2" s="2546" t="s">
        <v>2326</v>
      </c>
      <c r="G2" s="2547"/>
    </row>
    <row r="3" spans="1:9" s="244" customFormat="1" ht="18" customHeight="1" thickBot="1">
      <c r="A3" s="247" t="s">
        <v>2327</v>
      </c>
      <c r="B3" s="248">
        <f ca="1">ROUND(B2*10000/(IF(B1="",'数据-汇总表'!E3,INDIRECT("'数据-取费表'!k"&amp;$G$1))),0)</f>
        <v>19188</v>
      </c>
      <c r="C3" s="243" t="s">
        <v>2328</v>
      </c>
      <c r="D3" s="243"/>
      <c r="E3" s="243"/>
      <c r="F3" s="243"/>
      <c r="G3" s="243"/>
    </row>
    <row r="4" spans="1:9" s="252" customFormat="1" ht="15.75">
      <c r="A4" s="249" t="s">
        <v>2329</v>
      </c>
      <c r="B4" s="250"/>
      <c r="C4" s="250"/>
      <c r="D4" s="250"/>
      <c r="E4" s="250"/>
      <c r="F4" s="250"/>
      <c r="G4" s="251"/>
    </row>
    <row r="5" spans="1:9" s="258" customFormat="1" ht="13.5" customHeight="1">
      <c r="A5" s="299" t="s">
        <v>2330</v>
      </c>
      <c r="B5" s="254" t="s">
        <v>2331</v>
      </c>
      <c r="C5" s="255">
        <f>C6+C7+C8</f>
        <v>151589</v>
      </c>
      <c r="D5" s="255" t="s">
        <v>2332</v>
      </c>
      <c r="E5" s="256" t="s">
        <v>2333</v>
      </c>
      <c r="F5" s="256" t="s">
        <v>2334</v>
      </c>
      <c r="G5" s="257"/>
    </row>
    <row r="6" spans="1:9" s="258" customFormat="1" ht="13.5" customHeight="1">
      <c r="A6" s="949" t="s">
        <v>2335</v>
      </c>
      <c r="B6" s="259" t="s">
        <v>2336</v>
      </c>
      <c r="C6" s="260">
        <f>'土地比较法-住宅、综合'!B2</f>
        <v>147102</v>
      </c>
      <c r="D6" s="261"/>
      <c r="E6" s="262"/>
      <c r="F6" s="262"/>
      <c r="G6" s="263"/>
    </row>
    <row r="7" spans="1:9" s="258" customFormat="1" ht="13.5" customHeight="1">
      <c r="A7" s="949" t="s">
        <v>2337</v>
      </c>
      <c r="B7" s="259" t="s">
        <v>2338</v>
      </c>
      <c r="C7" s="264">
        <f>ROUND(C6*F7,0)</f>
        <v>4487</v>
      </c>
      <c r="D7" s="264"/>
      <c r="E7" s="262"/>
      <c r="F7" s="265">
        <f>'数据-取费表'!B48+'数据-取费表'!B49</f>
        <v>3.0499999999999999E-2</v>
      </c>
      <c r="G7" s="263"/>
    </row>
    <row r="8" spans="1:9" s="267" customFormat="1">
      <c r="A8" s="949" t="s">
        <v>2339</v>
      </c>
      <c r="B8" s="259" t="s">
        <v>2340</v>
      </c>
      <c r="C8" s="264">
        <f>IF(G8="已包含在土地购买价格中","0",IF(B1="",'数据-取费表'!B29,IF(G9="全部缴纳",C9+C10,H9)))</f>
        <v>0</v>
      </c>
      <c r="D8" s="266"/>
      <c r="E8" s="264"/>
      <c r="F8" s="265"/>
      <c r="G8" s="2548" t="s">
        <v>3248</v>
      </c>
    </row>
    <row r="9" spans="1:9" s="258" customFormat="1" ht="13.5" customHeight="1">
      <c r="A9" s="950" t="s">
        <v>800</v>
      </c>
      <c r="B9" s="268" t="s">
        <v>2341</v>
      </c>
      <c r="C9" s="269">
        <f ca="1">ROUND(D9*E9/10000,0)</f>
        <v>770</v>
      </c>
      <c r="D9" s="1032">
        <f ca="1">IF(B1="",'数据-汇总表'!E5,IF(INDIRECT("'数据-取费表'!c"&amp;$G$1)="住宅",INDIRECT("'数据-取费表'!k"&amp;$G$1),0))</f>
        <v>51317.149999999921</v>
      </c>
      <c r="E9" s="269">
        <f>'数据-取费表'!B27</f>
        <v>150</v>
      </c>
      <c r="F9" s="265"/>
      <c r="G9" s="2549"/>
      <c r="H9" s="1390"/>
      <c r="I9" s="2550" t="s">
        <v>2342</v>
      </c>
    </row>
    <row r="10" spans="1:9" s="258" customFormat="1" ht="13.5" customHeight="1">
      <c r="A10" s="950" t="s">
        <v>801</v>
      </c>
      <c r="B10" s="268" t="s">
        <v>2343</v>
      </c>
      <c r="C10" s="269">
        <f ca="1">ROUND(D10*E10/10000,0)</f>
        <v>1255</v>
      </c>
      <c r="D10" s="1032">
        <f ca="1">IF(B1="",'数据-汇总表'!E6,IF(INDIRECT("'数据-取费表'!c"&amp;$G$1)="住宅",INDIRECT("'数据-取费表'!s"&amp;$G$1),INDIRECT("'数据-取费表'!k"&amp;$G$1)+INDIRECT("'数据-取费表'!s"&amp;$G$1)))</f>
        <v>66031.010000000009</v>
      </c>
      <c r="E10" s="269">
        <f>'数据-取费表'!B28</f>
        <v>190</v>
      </c>
      <c r="F10" s="265"/>
      <c r="G10" s="270"/>
    </row>
    <row r="11" spans="1:9" s="258" customFormat="1" ht="13.5" hidden="1" customHeight="1">
      <c r="A11" s="271" t="s">
        <v>7</v>
      </c>
      <c r="B11" s="259" t="s">
        <v>2344</v>
      </c>
      <c r="C11" s="255"/>
      <c r="D11" s="1034"/>
      <c r="E11" s="262"/>
      <c r="F11" s="262"/>
      <c r="G11" s="263"/>
    </row>
    <row r="12" spans="1:9" s="258" customFormat="1" ht="13.5" hidden="1" customHeight="1">
      <c r="A12" s="271" t="s">
        <v>8</v>
      </c>
      <c r="B12" s="259" t="s">
        <v>2345</v>
      </c>
      <c r="C12" s="255">
        <v>0</v>
      </c>
      <c r="D12" s="1034"/>
      <c r="E12" s="272"/>
      <c r="F12" s="265">
        <v>3.0499999999999999E-2</v>
      </c>
      <c r="G12" s="263"/>
    </row>
    <row r="13" spans="1:9" s="258" customFormat="1" ht="13.5" hidden="1" customHeight="1">
      <c r="A13" s="271" t="s">
        <v>9</v>
      </c>
      <c r="B13" s="259" t="s">
        <v>2346</v>
      </c>
      <c r="C13" s="255"/>
      <c r="D13" s="1034"/>
      <c r="E13" s="262"/>
      <c r="F13" s="262"/>
      <c r="G13" s="263"/>
    </row>
    <row r="14" spans="1:9" s="258" customFormat="1" ht="13.5" hidden="1" customHeight="1">
      <c r="A14" s="271" t="s">
        <v>10</v>
      </c>
      <c r="B14" s="259" t="s">
        <v>2347</v>
      </c>
      <c r="C14" s="255"/>
      <c r="D14" s="1034"/>
      <c r="E14" s="262"/>
      <c r="F14" s="262"/>
      <c r="G14" s="263" t="s">
        <v>2348</v>
      </c>
    </row>
    <row r="15" spans="1:9" s="258" customFormat="1" ht="13.5" hidden="1" customHeight="1">
      <c r="A15" s="271" t="s">
        <v>11</v>
      </c>
      <c r="B15" s="259" t="s">
        <v>2349</v>
      </c>
      <c r="C15" s="264"/>
      <c r="D15" s="1034"/>
      <c r="E15" s="262"/>
      <c r="F15" s="262"/>
      <c r="G15" s="263" t="s">
        <v>2350</v>
      </c>
    </row>
    <row r="16" spans="1:9" s="258" customFormat="1" ht="13.5" hidden="1" customHeight="1">
      <c r="A16" s="271" t="s">
        <v>12</v>
      </c>
      <c r="B16" s="259" t="s">
        <v>2347</v>
      </c>
      <c r="C16" s="264"/>
      <c r="D16" s="1034"/>
      <c r="E16" s="262"/>
      <c r="F16" s="262"/>
      <c r="G16" s="263"/>
    </row>
    <row r="17" spans="1:7" s="258" customFormat="1" ht="13.5" hidden="1" customHeight="1">
      <c r="A17" s="271" t="s">
        <v>13</v>
      </c>
      <c r="B17" s="259" t="s">
        <v>2351</v>
      </c>
      <c r="C17" s="273"/>
      <c r="D17" s="1035"/>
      <c r="E17" s="273"/>
      <c r="F17" s="273"/>
      <c r="G17" s="263" t="s">
        <v>2350</v>
      </c>
    </row>
    <row r="18" spans="1:7" s="258" customFormat="1" ht="13.5" hidden="1" customHeight="1">
      <c r="A18" s="271" t="s">
        <v>14</v>
      </c>
      <c r="B18" s="259" t="s">
        <v>2352</v>
      </c>
      <c r="C18" s="264">
        <v>0</v>
      </c>
      <c r="D18" s="1034"/>
      <c r="E18" s="262"/>
      <c r="F18" s="265">
        <v>3.0499999999999999E-2</v>
      </c>
      <c r="G18" s="263" t="s">
        <v>2353</v>
      </c>
    </row>
    <row r="19" spans="1:7" s="267" customFormat="1" ht="13.5" customHeight="1">
      <c r="A19" s="299" t="s">
        <v>2354</v>
      </c>
      <c r="B19" s="254" t="s">
        <v>2355</v>
      </c>
      <c r="C19" s="255" t="str">
        <f>IF(G19="已包含在土地取得成本中","0",ROUND(D19*E19/10000,0))</f>
        <v>0</v>
      </c>
      <c r="D19" s="1036">
        <f ca="1">D9+D10</f>
        <v>117348.15999999993</v>
      </c>
      <c r="E19" s="255">
        <f>'数据-取费表'!B31</f>
        <v>90</v>
      </c>
      <c r="F19" s="275"/>
      <c r="G19" s="2548" t="s">
        <v>3249</v>
      </c>
    </row>
    <row r="20" spans="1:7" s="258" customFormat="1" ht="13.5" customHeight="1">
      <c r="A20" s="299" t="s">
        <v>2356</v>
      </c>
      <c r="B20" s="254" t="s">
        <v>2357</v>
      </c>
      <c r="C20" s="276">
        <f>ROUND((C5+C19)*F20,0)</f>
        <v>3032</v>
      </c>
      <c r="D20" s="276"/>
      <c r="E20" s="276"/>
      <c r="F20" s="277">
        <f>'数据-取费表'!B37</f>
        <v>0.02</v>
      </c>
      <c r="G20" s="278" t="s">
        <v>2358</v>
      </c>
    </row>
    <row r="21" spans="1:7" s="258" customFormat="1" ht="13.5" customHeight="1">
      <c r="A21" s="299" t="s">
        <v>2359</v>
      </c>
      <c r="B21" s="254" t="s">
        <v>2360</v>
      </c>
      <c r="C21" s="279">
        <f>F21</f>
        <v>0.02</v>
      </c>
      <c r="D21" s="280" t="s">
        <v>2361</v>
      </c>
      <c r="E21" s="276"/>
      <c r="F21" s="277">
        <f>'数据-取费表'!B38</f>
        <v>0.02</v>
      </c>
      <c r="G21" s="278" t="s">
        <v>2362</v>
      </c>
    </row>
    <row r="22" spans="1:7" s="258" customFormat="1" ht="13.5" customHeight="1">
      <c r="A22" s="299" t="s">
        <v>2363</v>
      </c>
      <c r="B22" s="254" t="s">
        <v>2364</v>
      </c>
      <c r="C22" s="1354">
        <f ca="1">ROUND(SUM(C23:C25),0)</f>
        <v>14110</v>
      </c>
      <c r="D22" s="279">
        <f ca="1">C26</f>
        <v>8.9999999999999998E-4</v>
      </c>
      <c r="E22" s="280" t="s">
        <v>2361</v>
      </c>
      <c r="F22" s="281">
        <f ca="1">'数据-取费表'!B40</f>
        <v>4.7500000000000001E-2</v>
      </c>
      <c r="G22" s="278" t="str">
        <f>IF('数据-取费表'!B22&lt;=1,"单利计息","复利计息")</f>
        <v>复利计息</v>
      </c>
    </row>
    <row r="23" spans="1:7" s="258" customFormat="1" ht="13.5" customHeight="1">
      <c r="A23" s="951" t="s">
        <v>2365</v>
      </c>
      <c r="B23" s="259" t="s">
        <v>2366</v>
      </c>
      <c r="C23" s="1355">
        <f ca="1">ROUND(IF('数据-取费表'!B22&lt;=1,C5*F22*'数据-取费表'!B23,C5*(POWER((1+F22),'数据-取费表'!B23)-1)),0)</f>
        <v>13973</v>
      </c>
      <c r="D23" s="282"/>
      <c r="E23" s="282"/>
      <c r="F23" s="283"/>
      <c r="G23" s="284" t="s">
        <v>2367</v>
      </c>
    </row>
    <row r="24" spans="1:7" s="258" customFormat="1" ht="13.5" customHeight="1">
      <c r="A24" s="951" t="s">
        <v>2368</v>
      </c>
      <c r="B24" s="259" t="s">
        <v>2369</v>
      </c>
      <c r="C24" s="1355">
        <f ca="1">ROUND(IF('数据-取费表'!B22&lt;=1,C19*F22*('数据-取费表'!B19/2+'数据-取费表'!B21),C19*(POWER((1+F22),('数据-取费表'!B19/2+'数据-取费表'!B21))-1)),0)</f>
        <v>0</v>
      </c>
      <c r="D24" s="282"/>
      <c r="E24" s="282"/>
      <c r="F24" s="283"/>
      <c r="G24" s="284" t="s">
        <v>2370</v>
      </c>
    </row>
    <row r="25" spans="1:7" s="258" customFormat="1" ht="24">
      <c r="A25" s="951" t="s">
        <v>2371</v>
      </c>
      <c r="B25" s="259" t="s">
        <v>2372</v>
      </c>
      <c r="C25" s="1355">
        <f ca="1">ROUND(IF('数据-取费表'!B22&lt;=1,C20*F22*'数据-取费表'!B23/2,C20*(POWER((1+F22),'数据-取费表'!B23/2)-1)),0)</f>
        <v>137</v>
      </c>
      <c r="D25" s="282"/>
      <c r="E25" s="285"/>
      <c r="F25" s="283"/>
      <c r="G25" s="286" t="s">
        <v>2373</v>
      </c>
    </row>
    <row r="26" spans="1:7" s="258" customFormat="1">
      <c r="A26" s="951" t="s">
        <v>795</v>
      </c>
      <c r="B26" s="259" t="s">
        <v>2374</v>
      </c>
      <c r="C26" s="282">
        <f ca="1">ROUND(IF('数据-取费表'!B22&lt;=1,F21*F22*'数据-取费表'!B23/2,F21*(POWER((1+F22),'数据-取费表'!B23/2)-1)),4)</f>
        <v>8.9999999999999998E-4</v>
      </c>
      <c r="D26" s="282"/>
      <c r="E26" s="285"/>
      <c r="F26" s="283"/>
      <c r="G26" s="287"/>
    </row>
    <row r="27" spans="1:7" s="258" customFormat="1" ht="24.75">
      <c r="A27" s="299" t="s">
        <v>2375</v>
      </c>
      <c r="B27" s="288" t="s">
        <v>2376</v>
      </c>
      <c r="C27" s="289">
        <f ca="1">C28</f>
        <v>14689</v>
      </c>
      <c r="D27" s="279">
        <f ca="1">C29</f>
        <v>1.9E-3</v>
      </c>
      <c r="E27" s="280" t="s">
        <v>2377</v>
      </c>
      <c r="F27" s="290">
        <f ca="1">IF(B1="",'数据-取费表'!Q16,INDIRECT("'数据-取费表'!q"&amp;$G$1))</f>
        <v>0.15</v>
      </c>
      <c r="G27" s="291" t="s">
        <v>2378</v>
      </c>
    </row>
    <row r="28" spans="1:7" s="258" customFormat="1" ht="13.5" customHeight="1">
      <c r="A28" s="951" t="s">
        <v>791</v>
      </c>
      <c r="B28" s="292" t="s">
        <v>2379</v>
      </c>
      <c r="C28" s="293">
        <f ca="1">ROUND((C5+C19+C20)*F27*'数据-取费表'!B21/'数据-取费表'!B20,0)</f>
        <v>14689</v>
      </c>
      <c r="D28" s="279"/>
      <c r="E28" s="280"/>
      <c r="F28" s="290"/>
      <c r="G28" s="291"/>
    </row>
    <row r="29" spans="1:7" s="258" customFormat="1" ht="13.5" customHeight="1">
      <c r="A29" s="951" t="s">
        <v>792</v>
      </c>
      <c r="B29" s="292" t="s">
        <v>2380</v>
      </c>
      <c r="C29" s="282">
        <f ca="1">ROUND(C21*F27*'数据-取费表'!B21/'数据-取费表'!B20,4)</f>
        <v>1.9E-3</v>
      </c>
      <c r="D29" s="279"/>
      <c r="E29" s="280"/>
      <c r="F29" s="290"/>
      <c r="G29" s="291"/>
    </row>
    <row r="30" spans="1:7" s="258" customFormat="1" ht="13.5" customHeight="1">
      <c r="A30" s="299" t="s">
        <v>2381</v>
      </c>
      <c r="B30" s="254" t="s">
        <v>2382</v>
      </c>
      <c r="C30" s="279">
        <f>ROUND(F30/(1+'数据-取费表'!C42),4)</f>
        <v>5.2400000000000002E-2</v>
      </c>
      <c r="D30" s="280" t="s">
        <v>2377</v>
      </c>
      <c r="E30" s="285"/>
      <c r="F30" s="281">
        <f>'数据-取费表'!B41</f>
        <v>5.5000000000000007E-2</v>
      </c>
      <c r="G30" s="278" t="s">
        <v>2383</v>
      </c>
    </row>
    <row r="31" spans="1:7" ht="16.5" customHeight="1">
      <c r="A31" s="253">
        <v>1</v>
      </c>
      <c r="B31" s="254" t="s">
        <v>2384</v>
      </c>
      <c r="C31" s="255">
        <f ca="1">ROUND((C5+C19+C20+C22+C27)/(1-C21-D22-D27-C30),0)</f>
        <v>198335</v>
      </c>
      <c r="D31" s="274"/>
      <c r="E31" s="255"/>
      <c r="F31" s="294"/>
      <c r="G31" s="278" t="s">
        <v>2385</v>
      </c>
    </row>
    <row r="32" spans="1:7" s="252" customFormat="1" ht="15.75">
      <c r="A32" s="296" t="s">
        <v>2386</v>
      </c>
      <c r="B32" s="297"/>
      <c r="C32" s="297"/>
      <c r="D32" s="297"/>
      <c r="E32" s="297"/>
      <c r="F32" s="297"/>
      <c r="G32" s="298"/>
    </row>
    <row r="33" spans="1:7" s="258" customFormat="1" ht="13.5" customHeight="1">
      <c r="A33" s="299" t="s">
        <v>782</v>
      </c>
      <c r="B33" s="254" t="s">
        <v>2387</v>
      </c>
      <c r="C33" s="300">
        <f ca="1">SUM(C34:C38)</f>
        <v>20333</v>
      </c>
      <c r="D33" s="276"/>
      <c r="E33" s="256"/>
      <c r="F33" s="285"/>
      <c r="G33" s="278"/>
    </row>
    <row r="34" spans="1:7" s="302" customFormat="1" ht="13.5" customHeight="1">
      <c r="A34" s="951" t="s">
        <v>791</v>
      </c>
      <c r="B34" s="259" t="s">
        <v>2388</v>
      </c>
      <c r="C34" s="264">
        <f ca="1">IF(B1="",IF(F34=100%,'数据-取费表'!M16,'数据-取费表'!O16),IF(F34=100%,INDIRECT("'数据-取费表'!m"&amp;$G$1)+INDIRECT("'数据-取费表'!t"&amp;$G$1),INDIRECT("'数据-取费表'!o"&amp;$G$1)+INDIRECT("'数据-取费表'!aq"&amp;$G$1)))</f>
        <v>17474</v>
      </c>
      <c r="D34" s="261"/>
      <c r="E34" s="264"/>
      <c r="F34" s="301">
        <f ca="1">IF('数据-取费表'!B24=0,1,IF(B1="",'数据-取费表'!N16,INDIRECT("'数据-取费表'!n"&amp;$G$1)))</f>
        <v>0.63800000000000001</v>
      </c>
      <c r="G34" s="263" t="s">
        <v>2389</v>
      </c>
    </row>
    <row r="35" spans="1:7" ht="13.5" customHeight="1">
      <c r="A35" s="951" t="s">
        <v>796</v>
      </c>
      <c r="B35" s="259" t="s">
        <v>2390</v>
      </c>
      <c r="C35" s="264">
        <f ca="1">ROUND(C34*F35,0)</f>
        <v>524</v>
      </c>
      <c r="D35" s="264"/>
      <c r="E35" s="264"/>
      <c r="F35" s="303">
        <f>'数据-取费表'!B33</f>
        <v>0.03</v>
      </c>
      <c r="G35" s="263" t="s">
        <v>2391</v>
      </c>
    </row>
    <row r="36" spans="1:7" ht="24">
      <c r="A36" s="951" t="s">
        <v>797</v>
      </c>
      <c r="B36" s="259" t="s">
        <v>2392</v>
      </c>
      <c r="C36" s="264">
        <f ca="1">ROUND(IF(B1="",SUMIF('数据-取费表'!C:C,"住宅",IF(F34=100%,'数据-取费表'!M:M,'数据-取费表'!O:O))*F36,IF(INDIRECT("'数据-取费表'!c"&amp;$G$1)="住宅",IF(F34=100%,INDIRECT("'数据-取费表'!m"&amp;$G$1)*F36,INDIRECT("'数据-取费表'!o"&amp;$G$1)*F36),0)),0)</f>
        <v>576</v>
      </c>
      <c r="D36" s="264"/>
      <c r="E36" s="264"/>
      <c r="F36" s="303">
        <f>'数据-取费表'!B34</f>
        <v>0.08</v>
      </c>
      <c r="G36" s="304" t="s">
        <v>2393</v>
      </c>
    </row>
    <row r="37" spans="1:7" s="302" customFormat="1" ht="13.5" customHeight="1">
      <c r="A37" s="951" t="s">
        <v>798</v>
      </c>
      <c r="B37" s="259" t="s">
        <v>2394</v>
      </c>
      <c r="C37" s="293">
        <f ca="1">ROUND(E37*D37*F34/10000,0)</f>
        <v>1497</v>
      </c>
      <c r="D37" s="261">
        <f ca="1">D19</f>
        <v>117348.15999999993</v>
      </c>
      <c r="E37" s="293">
        <f>'数据-取费表'!B35</f>
        <v>200</v>
      </c>
      <c r="F37" s="303"/>
      <c r="G37" s="305" t="s">
        <v>2395</v>
      </c>
    </row>
    <row r="38" spans="1:7" ht="13.5" customHeight="1">
      <c r="A38" s="951" t="s">
        <v>799</v>
      </c>
      <c r="B38" s="259" t="s">
        <v>2396</v>
      </c>
      <c r="C38" s="264">
        <f ca="1">ROUND(C34*F38,0)</f>
        <v>262</v>
      </c>
      <c r="D38" s="264"/>
      <c r="E38" s="264"/>
      <c r="F38" s="303">
        <f>'数据-取费表'!B36</f>
        <v>1.4999999999999999E-2</v>
      </c>
      <c r="G38" s="263" t="s">
        <v>2391</v>
      </c>
    </row>
    <row r="39" spans="1:7" s="258" customFormat="1" ht="13.5" customHeight="1">
      <c r="A39" s="299" t="s">
        <v>2397</v>
      </c>
      <c r="B39" s="254" t="s">
        <v>2398</v>
      </c>
      <c r="C39" s="276">
        <f ca="1">ROUND(C33*F20,0)</f>
        <v>407</v>
      </c>
      <c r="D39" s="276"/>
      <c r="E39" s="276"/>
      <c r="F39" s="277"/>
      <c r="G39" s="278" t="s">
        <v>2399</v>
      </c>
    </row>
    <row r="40" spans="1:7" s="258" customFormat="1" ht="13.5" customHeight="1">
      <c r="A40" s="299" t="s">
        <v>2400</v>
      </c>
      <c r="B40" s="254" t="s">
        <v>2401</v>
      </c>
      <c r="C40" s="1728">
        <f>F21</f>
        <v>0.02</v>
      </c>
      <c r="D40" s="280" t="s">
        <v>2402</v>
      </c>
      <c r="E40" s="276"/>
      <c r="F40" s="277"/>
      <c r="G40" s="278" t="s">
        <v>2403</v>
      </c>
    </row>
    <row r="41" spans="1:7" s="258" customFormat="1" ht="13.5" customHeight="1">
      <c r="A41" s="299" t="s">
        <v>2404</v>
      </c>
      <c r="B41" s="254" t="s">
        <v>2405</v>
      </c>
      <c r="C41" s="276">
        <f ca="1">ROUND(SUM(C42:C43),0)</f>
        <v>934</v>
      </c>
      <c r="D41" s="279">
        <f ca="1">C44</f>
        <v>8.9999999999999998E-4</v>
      </c>
      <c r="E41" s="280" t="s">
        <v>2402</v>
      </c>
      <c r="F41" s="281"/>
      <c r="G41" s="278" t="str">
        <f>IF('数据-取费表'!B22&lt;=1,"单利计息","复利计息")</f>
        <v>复利计息</v>
      </c>
    </row>
    <row r="42" spans="1:7" ht="13.5" customHeight="1">
      <c r="A42" s="951" t="s">
        <v>791</v>
      </c>
      <c r="B42" s="259" t="s">
        <v>2406</v>
      </c>
      <c r="C42" s="282">
        <f ca="1">ROUND(IF('数据-取费表'!B22&lt;=1,C33*F22*'数据-取费表'!B21/2,C33*(POWER((1+F22),'数据-取费表'!B21/2)-1)),0)</f>
        <v>916</v>
      </c>
      <c r="D42" s="282"/>
      <c r="E42" s="282"/>
      <c r="F42" s="283"/>
      <c r="G42" s="3310" t="s">
        <v>2407</v>
      </c>
    </row>
    <row r="43" spans="1:7" ht="13.5" customHeight="1">
      <c r="A43" s="951" t="s">
        <v>792</v>
      </c>
      <c r="B43" s="259" t="s">
        <v>2408</v>
      </c>
      <c r="C43" s="282">
        <f ca="1">ROUND(IF('数据-取费表'!B22&lt;=1,C39*F22*'数据-取费表'!B21/2,C39*(POWER((1+F22),'数据-取费表'!B21/2)-1)),0)</f>
        <v>18</v>
      </c>
      <c r="D43" s="282"/>
      <c r="E43" s="282"/>
      <c r="F43" s="283"/>
      <c r="G43" s="3311"/>
    </row>
    <row r="44" spans="1:7" ht="13.5" customHeight="1">
      <c r="A44" s="951" t="s">
        <v>793</v>
      </c>
      <c r="B44" s="259" t="s">
        <v>2409</v>
      </c>
      <c r="C44" s="282">
        <f ca="1">ROUND(IF('数据-取费表'!B22&lt;=1,C40*F22*'数据-取费表'!B21/2,C40*(POWER((1+F22),'数据-取费表'!B21/2)-1)),4)</f>
        <v>8.9999999999999998E-4</v>
      </c>
      <c r="D44" s="282"/>
      <c r="E44" s="282"/>
      <c r="F44" s="283"/>
      <c r="G44" s="3312"/>
    </row>
    <row r="45" spans="1:7" s="258" customFormat="1" ht="13.5" customHeight="1">
      <c r="A45" s="299" t="s">
        <v>2410</v>
      </c>
      <c r="B45" s="288" t="s">
        <v>2376</v>
      </c>
      <c r="C45" s="289">
        <f ca="1">C46</f>
        <v>3111</v>
      </c>
      <c r="D45" s="279">
        <f ca="1">C47</f>
        <v>3.0000000000000001E-3</v>
      </c>
      <c r="E45" s="280" t="s">
        <v>2402</v>
      </c>
      <c r="F45" s="290"/>
      <c r="G45" s="291" t="s">
        <v>2411</v>
      </c>
    </row>
    <row r="46" spans="1:7" s="258" customFormat="1" ht="13.5" customHeight="1">
      <c r="A46" s="951" t="s">
        <v>791</v>
      </c>
      <c r="B46" s="292" t="s">
        <v>2412</v>
      </c>
      <c r="C46" s="293">
        <f ca="1">ROUND((C33+C39)*F27,0)</f>
        <v>3111</v>
      </c>
      <c r="D46" s="307"/>
      <c r="E46" s="280"/>
      <c r="F46" s="290"/>
      <c r="G46" s="291"/>
    </row>
    <row r="47" spans="1:7" s="258" customFormat="1" ht="13.5" customHeight="1">
      <c r="A47" s="951" t="s">
        <v>792</v>
      </c>
      <c r="B47" s="292" t="s">
        <v>2413</v>
      </c>
      <c r="C47" s="282">
        <f ca="1">ROUND(C40*F27,4)</f>
        <v>3.0000000000000001E-3</v>
      </c>
      <c r="D47" s="307"/>
      <c r="E47" s="280"/>
      <c r="F47" s="290"/>
      <c r="G47" s="291"/>
    </row>
    <row r="48" spans="1:7" s="258" customFormat="1" ht="13.5" customHeight="1">
      <c r="A48" s="299" t="s">
        <v>2375</v>
      </c>
      <c r="B48" s="254" t="s">
        <v>2414</v>
      </c>
      <c r="C48" s="1728">
        <f>ROUND(F30/(1+'数据-取费表'!C42),4)</f>
        <v>5.2400000000000002E-2</v>
      </c>
      <c r="D48" s="280" t="s">
        <v>2402</v>
      </c>
      <c r="E48" s="276"/>
      <c r="F48" s="281"/>
      <c r="G48" s="278" t="s">
        <v>2415</v>
      </c>
    </row>
    <row r="49" spans="1:7" ht="16.5" customHeight="1">
      <c r="A49" s="299" t="s">
        <v>2381</v>
      </c>
      <c r="B49" s="254" t="s">
        <v>2416</v>
      </c>
      <c r="C49" s="276">
        <f ca="1">ROUND((C33+C39+C41+C45)/(1-C40-D41-D45-C48),0)</f>
        <v>26832</v>
      </c>
      <c r="D49" s="276"/>
      <c r="E49" s="276"/>
      <c r="F49" s="308"/>
      <c r="G49" s="278" t="s">
        <v>2417</v>
      </c>
    </row>
    <row r="50" spans="1:7" s="302" customFormat="1" ht="24">
      <c r="A50" s="299" t="s">
        <v>2418</v>
      </c>
      <c r="B50" s="254" t="s">
        <v>2419</v>
      </c>
      <c r="C50" s="276"/>
      <c r="D50" s="276"/>
      <c r="E50" s="276"/>
      <c r="F50" s="308">
        <f>IF('数据-取费表'!B24=0,'数据-取费表'!N16,1)</f>
        <v>1</v>
      </c>
      <c r="G50" s="291" t="s">
        <v>2420</v>
      </c>
    </row>
    <row r="51" spans="1:7" ht="16.5" customHeight="1">
      <c r="A51" s="299" t="s">
        <v>2421</v>
      </c>
      <c r="B51" s="254" t="s">
        <v>2422</v>
      </c>
      <c r="C51" s="276">
        <f ca="1">ROUND(C49*F50,0)</f>
        <v>26832</v>
      </c>
      <c r="D51" s="276"/>
      <c r="E51" s="276"/>
      <c r="F51" s="308"/>
      <c r="G51" s="278" t="s">
        <v>2423</v>
      </c>
    </row>
    <row r="52" spans="1:7" s="252" customFormat="1" ht="16.5" thickBot="1">
      <c r="A52" s="309" t="s">
        <v>2424</v>
      </c>
      <c r="B52" s="310"/>
      <c r="C52" s="311">
        <f ca="1">C31+C51</f>
        <v>225167</v>
      </c>
      <c r="D52" s="310"/>
      <c r="E52" s="310"/>
      <c r="F52" s="310"/>
      <c r="G52" s="312"/>
    </row>
    <row r="55" spans="1:7" ht="15">
      <c r="B55" s="314" t="s">
        <v>2425</v>
      </c>
      <c r="C55" s="315"/>
    </row>
    <row r="56" spans="1:7">
      <c r="B56" s="317" t="s">
        <v>1514</v>
      </c>
      <c r="C56" s="319">
        <f ca="1">1-C57</f>
        <v>0.88100000000000001</v>
      </c>
    </row>
    <row r="57" spans="1:7">
      <c r="B57" s="317" t="s">
        <v>1515</v>
      </c>
      <c r="C57" s="318">
        <f ca="1">ROUND(C51/C52,3)</f>
        <v>0.11899999999999999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2324</v>
      </c>
      <c r="B1" s="1937"/>
      <c r="C1" s="2551" t="s">
        <v>2426</v>
      </c>
      <c r="D1" s="242"/>
      <c r="E1" s="242"/>
      <c r="F1" s="242"/>
      <c r="G1" s="1379">
        <f>MATCH(B1,'数据-取费表'!A6:A16,0)+5</f>
        <v>12</v>
      </c>
      <c r="H1" s="1282" t="str">
        <f>IF(ISERROR(FIND("住宅",B1)),"非住宅","住宅")</f>
        <v>非住宅</v>
      </c>
    </row>
    <row r="2" spans="1:8" s="244" customFormat="1" ht="18" customHeight="1">
      <c r="A2" s="245" t="s">
        <v>2325</v>
      </c>
      <c r="B2" s="246">
        <f ca="1">ROUND(IF(D2="——",C52/10000,C52/10000-E2),0)</f>
        <v>47634</v>
      </c>
      <c r="C2" s="243" t="s">
        <v>2326</v>
      </c>
      <c r="D2" s="2545" t="s">
        <v>70</v>
      </c>
      <c r="E2" s="1440" t="e">
        <f ca="1">SUMIF(INDIRECT("'"&amp;G2&amp;"'"&amp;"!A:A"),"承租人权益价值",INDIRECT("'"&amp;G2&amp;"'"&amp;"!c:c"))</f>
        <v>#REF!</v>
      </c>
      <c r="F2" s="2546" t="s">
        <v>2326</v>
      </c>
      <c r="G2" s="2547"/>
    </row>
    <row r="3" spans="1:8" s="244" customFormat="1" ht="18" customHeight="1" thickBot="1">
      <c r="A3" s="247" t="s">
        <v>2327</v>
      </c>
      <c r="B3" s="248">
        <f ca="1">ROUND(B2*10000/(IF(B1="",'数据-汇总表'!E3,INDIRECT("'数据-取费表'!k"&amp;$G$1))),0)</f>
        <v>4059</v>
      </c>
      <c r="C3" s="243" t="s">
        <v>2328</v>
      </c>
      <c r="D3" s="243"/>
      <c r="E3" s="243"/>
      <c r="F3" s="243"/>
      <c r="G3" s="243"/>
    </row>
    <row r="4" spans="1:8" s="252" customFormat="1" ht="15.75">
      <c r="A4" s="249" t="s">
        <v>2329</v>
      </c>
      <c r="B4" s="250"/>
      <c r="C4" s="250"/>
      <c r="D4" s="250"/>
      <c r="E4" s="250"/>
      <c r="F4" s="250"/>
      <c r="G4" s="251"/>
    </row>
    <row r="5" spans="1:8" s="258" customFormat="1" ht="13.5" customHeight="1">
      <c r="A5" s="299" t="s">
        <v>2330</v>
      </c>
      <c r="B5" s="254" t="s">
        <v>2331</v>
      </c>
      <c r="C5" s="255">
        <f ca="1">C6+C7+C8</f>
        <v>20243464</v>
      </c>
      <c r="D5" s="255" t="s">
        <v>2332</v>
      </c>
      <c r="E5" s="256" t="s">
        <v>2333</v>
      </c>
      <c r="F5" s="256" t="s">
        <v>2334</v>
      </c>
      <c r="G5" s="257"/>
    </row>
    <row r="6" spans="1:8" s="258" customFormat="1" ht="13.5" customHeight="1">
      <c r="A6" s="949" t="s">
        <v>2335</v>
      </c>
      <c r="B6" s="259" t="s">
        <v>2336</v>
      </c>
      <c r="C6" s="260"/>
      <c r="D6" s="261"/>
      <c r="E6" s="262"/>
      <c r="F6" s="262"/>
      <c r="G6" s="263"/>
    </row>
    <row r="7" spans="1:8" s="258" customFormat="1" ht="13.5" customHeight="1">
      <c r="A7" s="949" t="s">
        <v>2337</v>
      </c>
      <c r="B7" s="259" t="s">
        <v>2338</v>
      </c>
      <c r="C7" s="264">
        <f>ROUND(C6*F7,0)</f>
        <v>0</v>
      </c>
      <c r="D7" s="264"/>
      <c r="E7" s="262"/>
      <c r="F7" s="265">
        <f>'数据-取费表'!B48+'数据-取费表'!B49</f>
        <v>3.0499999999999999E-2</v>
      </c>
      <c r="G7" s="263"/>
    </row>
    <row r="8" spans="1:8" s="267" customFormat="1">
      <c r="A8" s="949" t="s">
        <v>2339</v>
      </c>
      <c r="B8" s="259" t="s">
        <v>2340</v>
      </c>
      <c r="C8" s="264">
        <f ca="1">IF(G8="已包含在土地购买价格中",0,C9+C10)</f>
        <v>20243464</v>
      </c>
      <c r="D8" s="266"/>
      <c r="E8" s="264"/>
      <c r="F8" s="265"/>
      <c r="G8" s="2548"/>
    </row>
    <row r="9" spans="1:8" s="258" customFormat="1" ht="13.5" customHeight="1">
      <c r="A9" s="950" t="s">
        <v>800</v>
      </c>
      <c r="B9" s="268" t="s">
        <v>2341</v>
      </c>
      <c r="C9" s="269">
        <f ca="1">ROUND(D9*E9,0)</f>
        <v>7697572</v>
      </c>
      <c r="D9" s="1032">
        <f ca="1">IF(B1="",'数据-汇总表'!E5,IF(INDIRECT("'数据-取费表'!c"&amp;$G$1)="住宅",INDIRECT("'数据-取费表'!k"&amp;$G$1),0))</f>
        <v>51317.149999999921</v>
      </c>
      <c r="E9" s="269">
        <f>'数据-取费表'!B27</f>
        <v>150</v>
      </c>
      <c r="F9" s="265"/>
      <c r="G9" s="270"/>
    </row>
    <row r="10" spans="1:8" s="258" customFormat="1" ht="13.5" customHeight="1">
      <c r="A10" s="950" t="s">
        <v>801</v>
      </c>
      <c r="B10" s="268" t="s">
        <v>2343</v>
      </c>
      <c r="C10" s="269">
        <f ca="1">ROUND(D10*E10,0)</f>
        <v>12545892</v>
      </c>
      <c r="D10" s="1032">
        <f ca="1">IF(B1="",'数据-汇总表'!E6,IF(INDIRECT("'数据-取费表'!c"&amp;$G$1)="住宅",INDIRECT("'数据-取费表'!s"&amp;$G$1),INDIRECT("'数据-取费表'!k"&amp;$G$1)+INDIRECT("'数据-取费表'!s"&amp;$G$1)))</f>
        <v>66031.010000000009</v>
      </c>
      <c r="E10" s="269">
        <f>'数据-取费表'!B28</f>
        <v>190</v>
      </c>
      <c r="F10" s="265"/>
      <c r="G10" s="270"/>
    </row>
    <row r="11" spans="1:8" s="258" customFormat="1" ht="13.5" hidden="1" customHeight="1">
      <c r="A11" s="271" t="s">
        <v>7</v>
      </c>
      <c r="B11" s="259" t="s">
        <v>2344</v>
      </c>
      <c r="C11" s="255"/>
      <c r="D11" s="1034"/>
      <c r="E11" s="262"/>
      <c r="F11" s="262"/>
      <c r="G11" s="263"/>
    </row>
    <row r="12" spans="1:8" s="258" customFormat="1" ht="13.5" hidden="1" customHeight="1">
      <c r="A12" s="271" t="s">
        <v>8</v>
      </c>
      <c r="B12" s="259" t="s">
        <v>2427</v>
      </c>
      <c r="C12" s="255">
        <v>0</v>
      </c>
      <c r="D12" s="1034"/>
      <c r="E12" s="272"/>
      <c r="F12" s="265">
        <v>3.0499999999999999E-2</v>
      </c>
      <c r="G12" s="263"/>
    </row>
    <row r="13" spans="1:8" s="258" customFormat="1" ht="13.5" hidden="1" customHeight="1">
      <c r="A13" s="271" t="s">
        <v>9</v>
      </c>
      <c r="B13" s="259" t="s">
        <v>2428</v>
      </c>
      <c r="C13" s="255"/>
      <c r="D13" s="1034"/>
      <c r="E13" s="262"/>
      <c r="F13" s="262"/>
      <c r="G13" s="263"/>
    </row>
    <row r="14" spans="1:8" s="258" customFormat="1" ht="13.5" hidden="1" customHeight="1">
      <c r="A14" s="271" t="s">
        <v>10</v>
      </c>
      <c r="B14" s="259" t="s">
        <v>2340</v>
      </c>
      <c r="C14" s="255"/>
      <c r="D14" s="1034"/>
      <c r="E14" s="262"/>
      <c r="F14" s="262"/>
      <c r="G14" s="263" t="s">
        <v>2429</v>
      </c>
    </row>
    <row r="15" spans="1:8" s="258" customFormat="1" ht="13.5" hidden="1" customHeight="1">
      <c r="A15" s="271" t="s">
        <v>11</v>
      </c>
      <c r="B15" s="259" t="s">
        <v>2430</v>
      </c>
      <c r="C15" s="264"/>
      <c r="D15" s="1034"/>
      <c r="E15" s="262"/>
      <c r="F15" s="262"/>
      <c r="G15" s="263" t="s">
        <v>2431</v>
      </c>
    </row>
    <row r="16" spans="1:8" s="258" customFormat="1" ht="13.5" hidden="1" customHeight="1">
      <c r="A16" s="271" t="s">
        <v>12</v>
      </c>
      <c r="B16" s="259" t="s">
        <v>2340</v>
      </c>
      <c r="C16" s="264"/>
      <c r="D16" s="1034"/>
      <c r="E16" s="262"/>
      <c r="F16" s="262"/>
      <c r="G16" s="263"/>
    </row>
    <row r="17" spans="1:7" s="258" customFormat="1" ht="13.5" hidden="1" customHeight="1">
      <c r="A17" s="271" t="s">
        <v>13</v>
      </c>
      <c r="B17" s="259" t="s">
        <v>2432</v>
      </c>
      <c r="C17" s="273"/>
      <c r="D17" s="1035"/>
      <c r="E17" s="273"/>
      <c r="F17" s="273"/>
      <c r="G17" s="263" t="s">
        <v>2431</v>
      </c>
    </row>
    <row r="18" spans="1:7" s="258" customFormat="1" ht="13.5" hidden="1" customHeight="1">
      <c r="A18" s="271" t="s">
        <v>14</v>
      </c>
      <c r="B18" s="259" t="s">
        <v>2433</v>
      </c>
      <c r="C18" s="264">
        <v>0</v>
      </c>
      <c r="D18" s="1034"/>
      <c r="E18" s="262"/>
      <c r="F18" s="265">
        <v>3.0499999999999999E-2</v>
      </c>
      <c r="G18" s="263" t="s">
        <v>2434</v>
      </c>
    </row>
    <row r="19" spans="1:7" s="267" customFormat="1" ht="13.5" customHeight="1">
      <c r="A19" s="299" t="s">
        <v>2435</v>
      </c>
      <c r="B19" s="254" t="s">
        <v>2436</v>
      </c>
      <c r="C19" s="255">
        <f ca="1">IF(G19="已包含在土地取得成本中","0",ROUND(D19*E19,0))</f>
        <v>10561334</v>
      </c>
      <c r="D19" s="1036">
        <f ca="1">D9+D10</f>
        <v>117348.15999999993</v>
      </c>
      <c r="E19" s="255">
        <f>'数据-取费表'!B31</f>
        <v>90</v>
      </c>
      <c r="F19" s="275"/>
      <c r="G19" s="2548"/>
    </row>
    <row r="20" spans="1:7" s="258" customFormat="1" ht="13.5" customHeight="1">
      <c r="A20" s="299" t="s">
        <v>2437</v>
      </c>
      <c r="B20" s="254" t="s">
        <v>2438</v>
      </c>
      <c r="C20" s="276">
        <f ca="1">ROUND((C5+C19)*F20,0)</f>
        <v>616096</v>
      </c>
      <c r="D20" s="276"/>
      <c r="E20" s="276"/>
      <c r="F20" s="277">
        <f>'数据-取费表'!B37</f>
        <v>0.02</v>
      </c>
      <c r="G20" s="278" t="s">
        <v>2439</v>
      </c>
    </row>
    <row r="21" spans="1:7" s="258" customFormat="1" ht="13.5" customHeight="1">
      <c r="A21" s="299" t="s">
        <v>2440</v>
      </c>
      <c r="B21" s="254" t="s">
        <v>2441</v>
      </c>
      <c r="C21" s="279">
        <f>F21</f>
        <v>0.02</v>
      </c>
      <c r="D21" s="280" t="s">
        <v>2442</v>
      </c>
      <c r="E21" s="276"/>
      <c r="F21" s="277">
        <f>'数据-取费表'!B38</f>
        <v>0.02</v>
      </c>
      <c r="G21" s="278" t="s">
        <v>2443</v>
      </c>
    </row>
    <row r="22" spans="1:7" s="258" customFormat="1" ht="13.5" customHeight="1">
      <c r="A22" s="299" t="s">
        <v>2444</v>
      </c>
      <c r="B22" s="254" t="s">
        <v>2445</v>
      </c>
      <c r="C22" s="1380">
        <f ca="1">ROUND(SUM(C23:C25),0)</f>
        <v>4645909</v>
      </c>
      <c r="D22" s="279">
        <f ca="1">C26</f>
        <v>1.4E-3</v>
      </c>
      <c r="E22" s="280" t="s">
        <v>2442</v>
      </c>
      <c r="F22" s="281">
        <f ca="1">'数据-取费表'!B40</f>
        <v>4.7500000000000001E-2</v>
      </c>
      <c r="G22" s="278" t="str">
        <f>IF('数据-取费表'!B22&lt;=1,"单利计息","复利计息")</f>
        <v>复利计息</v>
      </c>
    </row>
    <row r="23" spans="1:7" s="258" customFormat="1" ht="13.5" customHeight="1">
      <c r="A23" s="951" t="s">
        <v>2335</v>
      </c>
      <c r="B23" s="259" t="s">
        <v>2446</v>
      </c>
      <c r="C23" s="1381">
        <f ca="1">ROUND(IF('数据-取费表'!B22&lt;=1,C5*F22*'数据-取费表'!B22,C5*(POWER((1+F22),'数据-取费表'!B22)-1)),0)</f>
        <v>3023886</v>
      </c>
      <c r="D23" s="282"/>
      <c r="E23" s="282"/>
      <c r="F23" s="283"/>
      <c r="G23" s="284" t="s">
        <v>2447</v>
      </c>
    </row>
    <row r="24" spans="1:7" s="258" customFormat="1" ht="13.5" customHeight="1">
      <c r="A24" s="951" t="s">
        <v>2337</v>
      </c>
      <c r="B24" s="259" t="s">
        <v>2448</v>
      </c>
      <c r="C24" s="1381">
        <f ca="1">ROUND(IF('数据-取费表'!B22&lt;=1,C19*F22*('数据-取费表'!B19/2+'数据-取费表'!B20),C19*(POWER((1+F22),('数据-取费表'!B19/2+'数据-取费表'!B20))-1)),0)</f>
        <v>1577609</v>
      </c>
      <c r="D24" s="282"/>
      <c r="E24" s="282"/>
      <c r="F24" s="283"/>
      <c r="G24" s="284" t="s">
        <v>2449</v>
      </c>
    </row>
    <row r="25" spans="1:7" s="258" customFormat="1" ht="24">
      <c r="A25" s="951" t="s">
        <v>2339</v>
      </c>
      <c r="B25" s="259" t="s">
        <v>2450</v>
      </c>
      <c r="C25" s="1381">
        <f ca="1">ROUND(IF('数据-取费表'!B22&lt;=1,C20*F22*'数据-取费表'!B22/2,C20*(POWER((1+F22),'数据-取费表'!B22/2)-1)),0)</f>
        <v>44414</v>
      </c>
      <c r="D25" s="282"/>
      <c r="E25" s="285"/>
      <c r="F25" s="283"/>
      <c r="G25" s="286" t="s">
        <v>2451</v>
      </c>
    </row>
    <row r="26" spans="1:7" s="258" customFormat="1">
      <c r="A26" s="951" t="s">
        <v>795</v>
      </c>
      <c r="B26" s="259" t="s">
        <v>2374</v>
      </c>
      <c r="C26" s="282">
        <f ca="1">ROUND(IF('数据-取费表'!B22&lt;=1,F21*F22*'数据-取费表'!B22/2,F21*(POWER((1+F22),'数据-取费表'!B22/2)-1)),4)</f>
        <v>1.4E-3</v>
      </c>
      <c r="D26" s="282"/>
      <c r="E26" s="285"/>
      <c r="F26" s="283"/>
      <c r="G26" s="287"/>
    </row>
    <row r="27" spans="1:7" s="258" customFormat="1" ht="24.75">
      <c r="A27" s="299" t="s">
        <v>2375</v>
      </c>
      <c r="B27" s="288" t="s">
        <v>2376</v>
      </c>
      <c r="C27" s="289">
        <f ca="1">C28</f>
        <v>4713134</v>
      </c>
      <c r="D27" s="279">
        <f ca="1">C29</f>
        <v>3.0000000000000001E-3</v>
      </c>
      <c r="E27" s="280" t="s">
        <v>2377</v>
      </c>
      <c r="F27" s="290">
        <f ca="1">IF(B1="",'数据-取费表'!Q16,INDIRECT("'数据-取费表'!q"&amp;$G$1))</f>
        <v>0.15</v>
      </c>
      <c r="G27" s="291" t="s">
        <v>2378</v>
      </c>
    </row>
    <row r="28" spans="1:7" s="258" customFormat="1" ht="13.5" customHeight="1">
      <c r="A28" s="951" t="s">
        <v>791</v>
      </c>
      <c r="B28" s="292" t="s">
        <v>2379</v>
      </c>
      <c r="C28" s="293">
        <f ca="1">ROUND((C5+C19+C20)*F27,0)</f>
        <v>4713134</v>
      </c>
      <c r="D28" s="279"/>
      <c r="E28" s="280"/>
      <c r="F28" s="290"/>
      <c r="G28" s="291"/>
    </row>
    <row r="29" spans="1:7" s="258" customFormat="1" ht="13.5" customHeight="1">
      <c r="A29" s="951" t="s">
        <v>792</v>
      </c>
      <c r="B29" s="292" t="s">
        <v>2380</v>
      </c>
      <c r="C29" s="282">
        <f ca="1">ROUND(C21*F27,4)</f>
        <v>3.0000000000000001E-3</v>
      </c>
      <c r="D29" s="279"/>
      <c r="E29" s="280"/>
      <c r="F29" s="290"/>
      <c r="G29" s="291"/>
    </row>
    <row r="30" spans="1:7" s="258" customFormat="1" ht="13.5" customHeight="1">
      <c r="A30" s="299" t="s">
        <v>2381</v>
      </c>
      <c r="B30" s="254" t="s">
        <v>2382</v>
      </c>
      <c r="C30" s="279">
        <f>ROUND(F30/(1+'数据-取费表'!C42),4)</f>
        <v>5.2400000000000002E-2</v>
      </c>
      <c r="D30" s="280" t="s">
        <v>2377</v>
      </c>
      <c r="E30" s="285"/>
      <c r="F30" s="281">
        <f>'数据-取费表'!B41</f>
        <v>5.5000000000000007E-2</v>
      </c>
      <c r="G30" s="278" t="s">
        <v>2383</v>
      </c>
    </row>
    <row r="31" spans="1:7" ht="16.5" customHeight="1">
      <c r="A31" s="253">
        <v>1</v>
      </c>
      <c r="B31" s="254" t="s">
        <v>2384</v>
      </c>
      <c r="C31" s="255">
        <f ca="1">ROUND((C5+C19+C20+C22+C27)/(1-C21-D22-D27-C30),0)</f>
        <v>44172375</v>
      </c>
      <c r="D31" s="274"/>
      <c r="E31" s="255"/>
      <c r="F31" s="294"/>
      <c r="G31" s="278" t="s">
        <v>2385</v>
      </c>
    </row>
    <row r="32" spans="1:7" s="252" customFormat="1" ht="15.75">
      <c r="A32" s="296" t="s">
        <v>2452</v>
      </c>
      <c r="B32" s="297"/>
      <c r="C32" s="297"/>
      <c r="D32" s="297"/>
      <c r="E32" s="297"/>
      <c r="F32" s="297"/>
      <c r="G32" s="298"/>
    </row>
    <row r="33" spans="1:7" s="258" customFormat="1" ht="13.5" customHeight="1">
      <c r="A33" s="299" t="s">
        <v>782</v>
      </c>
      <c r="B33" s="254" t="s">
        <v>2453</v>
      </c>
      <c r="C33" s="300">
        <f ca="1">SUM(C34:C38)</f>
        <v>320067786</v>
      </c>
      <c r="D33" s="276"/>
      <c r="E33" s="256"/>
      <c r="F33" s="285"/>
      <c r="G33" s="278"/>
    </row>
    <row r="34" spans="1:7" s="302" customFormat="1" ht="13.5" customHeight="1">
      <c r="A34" s="951" t="s">
        <v>791</v>
      </c>
      <c r="B34" s="259" t="s">
        <v>2388</v>
      </c>
      <c r="C34" s="264">
        <f ca="1">ROUND(IF(B1="",SUMPRODUCT('数据-取费表'!K6:K14,'数据-取费表'!L6:L14),INDIRECT("'数据-取费表'!l"&amp;$G$1)*INDIRECT("'数据-取费表'!k"&amp;$G$1)+'数据-取费表'!L14*INDIRECT("'数据-取费表'!S"&amp;$G$1)),0)</f>
        <v>273783164</v>
      </c>
      <c r="D34" s="261"/>
      <c r="E34" s="264"/>
      <c r="F34" s="301"/>
      <c r="G34" s="263"/>
    </row>
    <row r="35" spans="1:7" ht="13.5" customHeight="1">
      <c r="A35" s="951" t="s">
        <v>796</v>
      </c>
      <c r="B35" s="259" t="s">
        <v>2390</v>
      </c>
      <c r="C35" s="264">
        <f ca="1">ROUND(C34*F35,0)</f>
        <v>8213495</v>
      </c>
      <c r="D35" s="264"/>
      <c r="E35" s="264"/>
      <c r="F35" s="303">
        <f>'数据-取费表'!B33</f>
        <v>0.03</v>
      </c>
      <c r="G35" s="263" t="s">
        <v>2391</v>
      </c>
    </row>
    <row r="36" spans="1:7" ht="24">
      <c r="A36" s="951" t="s">
        <v>797</v>
      </c>
      <c r="B36" s="259" t="s">
        <v>2392</v>
      </c>
      <c r="C36" s="264">
        <f ca="1">ROUND(IF(B1="",SUM('数据-取费表'!AP6:AP13)*F36,IF(INDIRECT("'数据-取费表'!c"&amp;$G$1)="住宅",INDIRECT("'数据-取费表'!k"&amp;$G$1)*INDIRECT("'数据-取费表'!l"&amp;$G$1)*F36,0)),0)</f>
        <v>10494748</v>
      </c>
      <c r="D36" s="264"/>
      <c r="E36" s="264"/>
      <c r="F36" s="303">
        <f>'数据-取费表'!B34</f>
        <v>0.08</v>
      </c>
      <c r="G36" s="304" t="s">
        <v>2393</v>
      </c>
    </row>
    <row r="37" spans="1:7" s="302" customFormat="1" ht="13.5" customHeight="1">
      <c r="A37" s="951" t="s">
        <v>798</v>
      </c>
      <c r="B37" s="259" t="s">
        <v>2394</v>
      </c>
      <c r="C37" s="293">
        <f ca="1">ROUND(E37*D37,0)</f>
        <v>23469632</v>
      </c>
      <c r="D37" s="261">
        <f ca="1">D19</f>
        <v>117348.15999999993</v>
      </c>
      <c r="E37" s="293">
        <f>'数据-取费表'!B35</f>
        <v>200</v>
      </c>
      <c r="F37" s="303"/>
      <c r="G37" s="305"/>
    </row>
    <row r="38" spans="1:7" ht="13.5" customHeight="1">
      <c r="A38" s="951" t="s">
        <v>799</v>
      </c>
      <c r="B38" s="259" t="s">
        <v>2396</v>
      </c>
      <c r="C38" s="264">
        <f ca="1">ROUND(C34*F38,0)</f>
        <v>4106747</v>
      </c>
      <c r="D38" s="264"/>
      <c r="E38" s="264"/>
      <c r="F38" s="303">
        <f>'数据-取费表'!B36</f>
        <v>1.4999999999999999E-2</v>
      </c>
      <c r="G38" s="263" t="s">
        <v>2391</v>
      </c>
    </row>
    <row r="39" spans="1:7" s="258" customFormat="1" ht="13.5" customHeight="1">
      <c r="A39" s="299" t="s">
        <v>2397</v>
      </c>
      <c r="B39" s="254" t="s">
        <v>2398</v>
      </c>
      <c r="C39" s="276">
        <f ca="1">ROUND(C33*F20,0)</f>
        <v>6401356</v>
      </c>
      <c r="D39" s="276"/>
      <c r="E39" s="276"/>
      <c r="F39" s="277"/>
      <c r="G39" s="278" t="s">
        <v>2399</v>
      </c>
    </row>
    <row r="40" spans="1:7" s="258" customFormat="1" ht="13.5" customHeight="1">
      <c r="A40" s="299" t="s">
        <v>2400</v>
      </c>
      <c r="B40" s="254" t="s">
        <v>2401</v>
      </c>
      <c r="C40" s="1728">
        <f>F21</f>
        <v>0.02</v>
      </c>
      <c r="D40" s="280" t="s">
        <v>2402</v>
      </c>
      <c r="E40" s="276"/>
      <c r="F40" s="277"/>
      <c r="G40" s="278" t="s">
        <v>2403</v>
      </c>
    </row>
    <row r="41" spans="1:7" s="258" customFormat="1" ht="13.5" customHeight="1">
      <c r="A41" s="299" t="s">
        <v>2404</v>
      </c>
      <c r="B41" s="254" t="s">
        <v>2405</v>
      </c>
      <c r="C41" s="276">
        <f ca="1">ROUND(SUM(C42:C43),0)</f>
        <v>23535002</v>
      </c>
      <c r="D41" s="279">
        <f ca="1">C44</f>
        <v>1.4E-3</v>
      </c>
      <c r="E41" s="280" t="s">
        <v>2402</v>
      </c>
      <c r="F41" s="281"/>
      <c r="G41" s="278" t="str">
        <f>IF('数据-取费表'!B22&lt;=1,"单利计息","复利计息")</f>
        <v>复利计息</v>
      </c>
    </row>
    <row r="42" spans="1:7" ht="13.5" customHeight="1">
      <c r="A42" s="951" t="s">
        <v>791</v>
      </c>
      <c r="B42" s="259" t="s">
        <v>2406</v>
      </c>
      <c r="C42" s="282">
        <f ca="1">ROUND(IF('数据-取费表'!B22&lt;=1,C33*F22*'数据-取费表'!B20/2,C33*(POWER((1+F22),'数据-取费表'!B20/2)-1)),0)</f>
        <v>23073531</v>
      </c>
      <c r="D42" s="282"/>
      <c r="E42" s="282"/>
      <c r="F42" s="283"/>
      <c r="G42" s="3310" t="s">
        <v>2454</v>
      </c>
    </row>
    <row r="43" spans="1:7" ht="13.5" customHeight="1">
      <c r="A43" s="951" t="s">
        <v>792</v>
      </c>
      <c r="B43" s="259" t="s">
        <v>2408</v>
      </c>
      <c r="C43" s="282">
        <f ca="1">ROUND(IF('数据-取费表'!B22&lt;=1,C39*F22*'数据-取费表'!B20/2,C39*(POWER((1+F22),'数据-取费表'!B20/2)-1)),0)</f>
        <v>461471</v>
      </c>
      <c r="D43" s="282"/>
      <c r="E43" s="282"/>
      <c r="F43" s="283"/>
      <c r="G43" s="3311"/>
    </row>
    <row r="44" spans="1:7" ht="13.5" customHeight="1">
      <c r="A44" s="951" t="s">
        <v>793</v>
      </c>
      <c r="B44" s="259" t="s">
        <v>2409</v>
      </c>
      <c r="C44" s="282">
        <f ca="1">ROUND(IF('数据-取费表'!B22&lt;=1,C40*F22*'数据-取费表'!B20/2,C40*(POWER((1+F22),'数据-取费表'!B20/2)-1)),4)</f>
        <v>1.4E-3</v>
      </c>
      <c r="D44" s="282"/>
      <c r="E44" s="282"/>
      <c r="F44" s="283"/>
      <c r="G44" s="3312"/>
    </row>
    <row r="45" spans="1:7" s="258" customFormat="1" ht="13.5" customHeight="1">
      <c r="A45" s="299" t="s">
        <v>2410</v>
      </c>
      <c r="B45" s="288" t="s">
        <v>2376</v>
      </c>
      <c r="C45" s="289">
        <f ca="1">C46</f>
        <v>48970371</v>
      </c>
      <c r="D45" s="279">
        <f ca="1">C47</f>
        <v>3.0000000000000001E-3</v>
      </c>
      <c r="E45" s="280" t="s">
        <v>2402</v>
      </c>
      <c r="F45" s="290"/>
      <c r="G45" s="291" t="s">
        <v>2411</v>
      </c>
    </row>
    <row r="46" spans="1:7" s="258" customFormat="1" ht="13.5" customHeight="1">
      <c r="A46" s="951" t="s">
        <v>791</v>
      </c>
      <c r="B46" s="292" t="s">
        <v>2412</v>
      </c>
      <c r="C46" s="293">
        <f ca="1">ROUND((C33+C39)*F27,0)</f>
        <v>48970371</v>
      </c>
      <c r="D46" s="307"/>
      <c r="E46" s="280"/>
      <c r="F46" s="290"/>
      <c r="G46" s="291"/>
    </row>
    <row r="47" spans="1:7" s="258" customFormat="1" ht="13.5" customHeight="1">
      <c r="A47" s="951" t="s">
        <v>792</v>
      </c>
      <c r="B47" s="292" t="s">
        <v>2413</v>
      </c>
      <c r="C47" s="282">
        <f ca="1">ROUND(C40*F27,4)</f>
        <v>3.0000000000000001E-3</v>
      </c>
      <c r="D47" s="307"/>
      <c r="E47" s="280"/>
      <c r="F47" s="290"/>
      <c r="G47" s="291"/>
    </row>
    <row r="48" spans="1:7" s="258" customFormat="1" ht="13.5" customHeight="1">
      <c r="A48" s="299" t="s">
        <v>2375</v>
      </c>
      <c r="B48" s="254" t="s">
        <v>2414</v>
      </c>
      <c r="C48" s="306">
        <f>ROUND(F30/(1+'数据-取费表'!C42),4)</f>
        <v>5.2400000000000002E-2</v>
      </c>
      <c r="D48" s="280" t="s">
        <v>2402</v>
      </c>
      <c r="E48" s="276"/>
      <c r="F48" s="281"/>
      <c r="G48" s="278" t="s">
        <v>2415</v>
      </c>
    </row>
    <row r="49" spans="1:7" ht="16.5" customHeight="1">
      <c r="A49" s="299" t="s">
        <v>2381</v>
      </c>
      <c r="B49" s="254" t="s">
        <v>2455</v>
      </c>
      <c r="C49" s="276">
        <f ca="1">ROUND((C33+C39+C41+C45)/(1-C40-D41-D45-C48),0)</f>
        <v>432164769</v>
      </c>
      <c r="D49" s="276"/>
      <c r="E49" s="276"/>
      <c r="F49" s="308"/>
      <c r="G49" s="278" t="s">
        <v>2417</v>
      </c>
    </row>
    <row r="50" spans="1:7" s="302" customFormat="1">
      <c r="A50" s="299" t="s">
        <v>2418</v>
      </c>
      <c r="B50" s="254" t="s">
        <v>2419</v>
      </c>
      <c r="C50" s="276"/>
      <c r="D50" s="276"/>
      <c r="E50" s="276"/>
      <c r="F50" s="308">
        <f>IF('数据-取费表'!B24=0,'数据-取费表'!N16,1)</f>
        <v>1</v>
      </c>
      <c r="G50" s="291"/>
    </row>
    <row r="51" spans="1:7" ht="16.5" customHeight="1">
      <c r="A51" s="299" t="s">
        <v>2421</v>
      </c>
      <c r="B51" s="254" t="s">
        <v>2456</v>
      </c>
      <c r="C51" s="276">
        <f ca="1">ROUND(C49*F50,0)</f>
        <v>432164769</v>
      </c>
      <c r="D51" s="276"/>
      <c r="E51" s="276"/>
      <c r="F51" s="308"/>
      <c r="G51" s="278" t="s">
        <v>2423</v>
      </c>
    </row>
    <row r="52" spans="1:7" s="252" customFormat="1" ht="16.5" thickBot="1">
      <c r="A52" s="309" t="s">
        <v>2424</v>
      </c>
      <c r="B52" s="310"/>
      <c r="C52" s="311">
        <f ca="1">C31+C51</f>
        <v>476337144</v>
      </c>
      <c r="D52" s="310"/>
      <c r="E52" s="310"/>
      <c r="F52" s="310"/>
      <c r="G52" s="312"/>
    </row>
    <row r="55" spans="1:7" ht="15">
      <c r="B55" s="314" t="s">
        <v>2425</v>
      </c>
      <c r="C55" s="315"/>
    </row>
    <row r="56" spans="1:7">
      <c r="B56" s="317" t="s">
        <v>1514</v>
      </c>
      <c r="C56" s="319">
        <f ca="1">1-C57</f>
        <v>9.2999999999999972E-2</v>
      </c>
    </row>
    <row r="57" spans="1:7">
      <c r="B57" s="317" t="s">
        <v>1515</v>
      </c>
      <c r="C57" s="318">
        <f ca="1">ROUND(C51/C52,3)</f>
        <v>0.90700000000000003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7" zoomScale="80" zoomScaleNormal="80" workbookViewId="0">
      <selection activeCell="D39" sqref="D39"/>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2739</v>
      </c>
      <c r="B1" s="395"/>
      <c r="C1" s="396" t="s">
        <v>2740</v>
      </c>
      <c r="D1" s="755"/>
      <c r="E1" s="755"/>
      <c r="F1" s="754" t="s">
        <v>2638</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2325</v>
      </c>
      <c r="B2" s="671">
        <f>F66</f>
        <v>147102</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2327</v>
      </c>
      <c r="B3" s="609">
        <f>ROUND(IF(D3="",B2*10000/'数据-汇总表'!E3,B2*10000/D3),0)</f>
        <v>12536</v>
      </c>
      <c r="C3" s="247" t="s">
        <v>2741</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2640</v>
      </c>
      <c r="B4" s="402"/>
      <c r="C4" s="3317" t="s">
        <v>2641</v>
      </c>
      <c r="D4" s="3330"/>
      <c r="E4" s="3331" t="s">
        <v>2642</v>
      </c>
      <c r="F4" s="3332"/>
      <c r="G4" s="3317" t="s">
        <v>2643</v>
      </c>
      <c r="H4" s="3330"/>
      <c r="I4" s="3317" t="s">
        <v>2644</v>
      </c>
      <c r="J4" s="3330"/>
      <c r="K4" s="610" t="s">
        <v>2645</v>
      </c>
      <c r="L4" s="1130"/>
      <c r="M4" s="1131"/>
      <c r="N4" s="1131"/>
      <c r="O4" s="1131"/>
      <c r="P4" s="3333" t="s">
        <v>2646</v>
      </c>
      <c r="Q4" s="3334"/>
      <c r="R4" s="3339" t="s">
        <v>2642</v>
      </c>
      <c r="S4" s="3340"/>
      <c r="T4" s="3339" t="s">
        <v>2643</v>
      </c>
      <c r="U4" s="3340"/>
      <c r="V4" s="3326" t="s">
        <v>2644</v>
      </c>
      <c r="W4" s="3326"/>
      <c r="X4" s="1813"/>
      <c r="Y4" s="3339" t="s">
        <v>2646</v>
      </c>
      <c r="Z4" s="3340"/>
      <c r="AA4" s="3327" t="s">
        <v>2642</v>
      </c>
      <c r="AB4" s="3328" t="s">
        <v>2643</v>
      </c>
      <c r="AC4" s="3327" t="s">
        <v>2644</v>
      </c>
    </row>
    <row r="5" spans="1:30" ht="36" customHeight="1">
      <c r="A5" s="404"/>
      <c r="B5" s="405"/>
      <c r="C5" s="3347" t="s">
        <v>3227</v>
      </c>
      <c r="D5" s="3348"/>
      <c r="E5" s="3354" t="s">
        <v>3222</v>
      </c>
      <c r="F5" s="3355"/>
      <c r="G5" s="3347" t="s">
        <v>3223</v>
      </c>
      <c r="H5" s="3348"/>
      <c r="I5" s="3347" t="s">
        <v>3224</v>
      </c>
      <c r="J5" s="3348"/>
      <c r="K5" s="610"/>
      <c r="L5" s="1130"/>
      <c r="M5" s="1131"/>
      <c r="N5" s="1131"/>
      <c r="O5" s="1131"/>
      <c r="P5" s="3335"/>
      <c r="Q5" s="3336"/>
      <c r="R5" s="3341"/>
      <c r="S5" s="3342"/>
      <c r="T5" s="3341"/>
      <c r="U5" s="3342"/>
      <c r="V5" s="3326"/>
      <c r="W5" s="3326"/>
      <c r="X5" s="1813"/>
      <c r="Y5" s="3341"/>
      <c r="Z5" s="3342"/>
      <c r="AA5" s="3328"/>
      <c r="AB5" s="3328"/>
      <c r="AC5" s="3328"/>
    </row>
    <row r="6" spans="1:30" ht="15.75" thickBot="1">
      <c r="A6" s="406"/>
      <c r="B6" s="407"/>
      <c r="C6" s="3345" t="s">
        <v>3225</v>
      </c>
      <c r="D6" s="3346"/>
      <c r="E6" s="3352" t="s">
        <v>3226</v>
      </c>
      <c r="F6" s="3353"/>
      <c r="G6" s="3352" t="s">
        <v>3226</v>
      </c>
      <c r="H6" s="3353"/>
      <c r="I6" s="3345" t="s">
        <v>3225</v>
      </c>
      <c r="J6" s="3346"/>
      <c r="K6" s="610" t="s">
        <v>2542</v>
      </c>
      <c r="L6" s="1130"/>
      <c r="M6" s="1131"/>
      <c r="N6" s="1131"/>
      <c r="O6" s="1131"/>
      <c r="P6" s="3337"/>
      <c r="Q6" s="3338"/>
      <c r="R6" s="3341"/>
      <c r="S6" s="3342"/>
      <c r="T6" s="3343"/>
      <c r="U6" s="3344"/>
      <c r="V6" s="3326"/>
      <c r="W6" s="3326"/>
      <c r="X6" s="1813"/>
      <c r="Y6" s="3343"/>
      <c r="Z6" s="3344"/>
      <c r="AA6" s="3329"/>
      <c r="AB6" s="3329"/>
      <c r="AC6" s="3329"/>
    </row>
    <row r="7" spans="1:30" s="117" customFormat="1" ht="15.75" thickBot="1">
      <c r="A7" s="408" t="s">
        <v>2543</v>
      </c>
      <c r="B7" s="409"/>
      <c r="C7" s="410">
        <f>'数据-取费表'!B2</f>
        <v>43111</v>
      </c>
      <c r="D7" s="411">
        <v>100</v>
      </c>
      <c r="E7" s="412">
        <v>42495</v>
      </c>
      <c r="F7" s="413">
        <f>SUMIF(70:70,YEAR(E7)&amp;"-"&amp;INT((MONTH(E7)+2)/3),71:71)</f>
        <v>93</v>
      </c>
      <c r="G7" s="412">
        <v>42495</v>
      </c>
      <c r="H7" s="411">
        <f>SUMIF(70:70,YEAR(G7)&amp;"-"&amp;INT((MONTH(G7)+2)/3),71:71)</f>
        <v>93</v>
      </c>
      <c r="I7" s="2692">
        <v>42941</v>
      </c>
      <c r="J7" s="411">
        <f>SUMIF(70:70,YEAR(I7)&amp;"-"&amp;INT((MONTH(I7)+2)/3),71:71)</f>
        <v>98</v>
      </c>
      <c r="K7" s="611"/>
      <c r="L7" s="1132"/>
      <c r="M7" s="1133"/>
      <c r="N7" s="1133"/>
      <c r="O7" s="1133"/>
      <c r="P7" s="3349" t="s">
        <v>2544</v>
      </c>
      <c r="Q7" s="3351"/>
      <c r="R7" s="770" t="s">
        <v>17</v>
      </c>
      <c r="S7" s="771">
        <f t="shared" ref="S7:S15" si="0">F7</f>
        <v>93</v>
      </c>
      <c r="T7" s="770" t="s">
        <v>17</v>
      </c>
      <c r="U7" s="771">
        <f t="shared" ref="U7:U15" si="1">H7</f>
        <v>93</v>
      </c>
      <c r="V7" s="770" t="s">
        <v>17</v>
      </c>
      <c r="W7" s="771">
        <f t="shared" ref="W7:W15" si="2">J7</f>
        <v>98</v>
      </c>
      <c r="X7" s="772"/>
      <c r="Y7" s="3349" t="s">
        <v>2544</v>
      </c>
      <c r="Z7" s="3350"/>
      <c r="AA7" s="773">
        <f>D7/F7</f>
        <v>1.075268817204301</v>
      </c>
      <c r="AB7" s="773">
        <f>D7/H7</f>
        <v>1.075268817204301</v>
      </c>
      <c r="AC7" s="773">
        <f>D7/J7</f>
        <v>1.0204081632653061</v>
      </c>
    </row>
    <row r="8" spans="1:30" s="117" customFormat="1" ht="15.75" thickBot="1">
      <c r="A8" s="408" t="s">
        <v>2545</v>
      </c>
      <c r="B8" s="409"/>
      <c r="C8" s="414" t="s">
        <v>2546</v>
      </c>
      <c r="D8" s="411">
        <v>100</v>
      </c>
      <c r="E8" s="414" t="s">
        <v>2546</v>
      </c>
      <c r="F8" s="413">
        <f>SUMIF(73:73,E8,74:74)-SUMIF(73:73,C8,74:74)+100</f>
        <v>100</v>
      </c>
      <c r="G8" s="414" t="s">
        <v>2546</v>
      </c>
      <c r="H8" s="411">
        <f>SUMIF(73:73,G8,74:74)-SUMIF(73:73,C8,74:74)+100</f>
        <v>100</v>
      </c>
      <c r="I8" s="414" t="s">
        <v>2546</v>
      </c>
      <c r="J8" s="411">
        <f>SUMIF(73:73,I8,74:74)-SUMIF(73:73,C8,74:74)+100</f>
        <v>100</v>
      </c>
      <c r="K8" s="611"/>
      <c r="L8" s="1132"/>
      <c r="M8" s="1133"/>
      <c r="N8" s="1133"/>
      <c r="O8" s="1133"/>
      <c r="P8" s="3349" t="s">
        <v>2547</v>
      </c>
      <c r="Q8" s="3350"/>
      <c r="R8" s="770" t="s">
        <v>17</v>
      </c>
      <c r="S8" s="771">
        <f t="shared" si="0"/>
        <v>100</v>
      </c>
      <c r="T8" s="770" t="s">
        <v>17</v>
      </c>
      <c r="U8" s="771">
        <f t="shared" si="1"/>
        <v>100</v>
      </c>
      <c r="V8" s="770" t="s">
        <v>17</v>
      </c>
      <c r="W8" s="771">
        <f t="shared" si="2"/>
        <v>100</v>
      </c>
      <c r="X8" s="772"/>
      <c r="Y8" s="3349" t="s">
        <v>2547</v>
      </c>
      <c r="Z8" s="3350"/>
      <c r="AA8" s="773">
        <f t="shared" ref="AA8:AA45" si="3">D8/F8</f>
        <v>1</v>
      </c>
      <c r="AB8" s="773">
        <f t="shared" ref="AB8:AB45" si="4">D8/H8</f>
        <v>1</v>
      </c>
      <c r="AC8" s="773">
        <f t="shared" ref="AC8:AC45" si="5">D8/J8</f>
        <v>1</v>
      </c>
    </row>
    <row r="9" spans="1:30" s="117" customFormat="1">
      <c r="A9" s="415" t="s">
        <v>2548</v>
      </c>
      <c r="B9" s="71" t="s">
        <v>2549</v>
      </c>
      <c r="C9" s="2695" t="s">
        <v>3151</v>
      </c>
      <c r="D9" s="135">
        <v>100</v>
      </c>
      <c r="E9" s="2695" t="s">
        <v>3151</v>
      </c>
      <c r="F9" s="135">
        <f>SUMIF(75:75,E9,76:76)-SUMIF(75:75,C9,76:76)+100</f>
        <v>100</v>
      </c>
      <c r="G9" s="2695" t="s">
        <v>3151</v>
      </c>
      <c r="H9" s="135">
        <f>SUMIF(75:75,G9,76:76)-SUMIF(75:75,C9,76:76)+100</f>
        <v>100</v>
      </c>
      <c r="I9" s="2695" t="s">
        <v>3151</v>
      </c>
      <c r="J9" s="135">
        <f>SUMIF(75:75,I9,76:76)-SUMIF(75:75,C9,76:76)+100</f>
        <v>100</v>
      </c>
      <c r="K9" s="611"/>
      <c r="L9" s="1132"/>
      <c r="M9" s="1133"/>
      <c r="N9" s="1133"/>
      <c r="O9" s="1134"/>
      <c r="P9" s="3320" t="s">
        <v>2550</v>
      </c>
      <c r="Q9" s="1795" t="str">
        <f t="shared" ref="Q9:Q15" si="6">B9</f>
        <v>用途</v>
      </c>
      <c r="R9" s="770" t="s">
        <v>17</v>
      </c>
      <c r="S9" s="771">
        <f t="shared" si="0"/>
        <v>100</v>
      </c>
      <c r="T9" s="770" t="s">
        <v>17</v>
      </c>
      <c r="U9" s="771">
        <f t="shared" si="1"/>
        <v>100</v>
      </c>
      <c r="V9" s="770" t="s">
        <v>17</v>
      </c>
      <c r="W9" s="771">
        <f t="shared" si="2"/>
        <v>100</v>
      </c>
      <c r="X9" s="772"/>
      <c r="Y9" s="3151" t="s">
        <v>2551</v>
      </c>
      <c r="Z9" s="55" t="str">
        <f t="shared" ref="Z9:Z15" si="7">Q9</f>
        <v>用途</v>
      </c>
      <c r="AA9" s="773">
        <f t="shared" si="3"/>
        <v>1</v>
      </c>
      <c r="AB9" s="773">
        <f t="shared" si="4"/>
        <v>1</v>
      </c>
      <c r="AC9" s="773">
        <f t="shared" si="5"/>
        <v>1</v>
      </c>
    </row>
    <row r="10" spans="1:30" s="427" customFormat="1" ht="27">
      <c r="A10" s="421"/>
      <c r="B10" s="422" t="s">
        <v>2552</v>
      </c>
      <c r="C10" s="432">
        <f>项目基本情况!D15</f>
        <v>67.97</v>
      </c>
      <c r="D10" s="136">
        <v>100</v>
      </c>
      <c r="E10" s="465" t="s">
        <v>3228</v>
      </c>
      <c r="F10" s="136">
        <f>ROUND(100/'数据-取费表'!G16,0)</f>
        <v>101</v>
      </c>
      <c r="G10" s="463" t="s">
        <v>3228</v>
      </c>
      <c r="H10" s="136">
        <f>ROUND(100/'数据-取费表'!G16,0)</f>
        <v>101</v>
      </c>
      <c r="I10" s="463" t="s">
        <v>3228</v>
      </c>
      <c r="J10" s="136">
        <f>ROUND(100/'数据-取费表'!G16,0)</f>
        <v>101</v>
      </c>
      <c r="K10" s="672"/>
      <c r="L10" s="1135"/>
      <c r="M10" s="1136"/>
      <c r="N10" s="1136"/>
      <c r="O10" s="1137"/>
      <c r="P10" s="3320"/>
      <c r="Q10" s="1795" t="str">
        <f t="shared" si="6"/>
        <v>土地使用年限（年）</v>
      </c>
      <c r="R10" s="770" t="s">
        <v>17</v>
      </c>
      <c r="S10" s="771">
        <f t="shared" si="0"/>
        <v>101</v>
      </c>
      <c r="T10" s="770" t="s">
        <v>17</v>
      </c>
      <c r="U10" s="771">
        <f t="shared" si="1"/>
        <v>101</v>
      </c>
      <c r="V10" s="770" t="s">
        <v>17</v>
      </c>
      <c r="W10" s="771">
        <f t="shared" si="2"/>
        <v>101</v>
      </c>
      <c r="X10" s="772"/>
      <c r="Y10" s="3151"/>
      <c r="Z10" s="55" t="str">
        <f t="shared" si="7"/>
        <v>土地使用年限（年）</v>
      </c>
      <c r="AA10" s="773">
        <f t="shared" si="3"/>
        <v>0.99009900990099009</v>
      </c>
      <c r="AB10" s="773">
        <f t="shared" si="4"/>
        <v>0.99009900990099009</v>
      </c>
      <c r="AC10" s="773">
        <f t="shared" si="5"/>
        <v>0.99009900990099009</v>
      </c>
    </row>
    <row r="11" spans="1:30" ht="15">
      <c r="A11" s="428"/>
      <c r="B11" s="422" t="s">
        <v>2553</v>
      </c>
      <c r="C11" s="429">
        <f>'数据-汇总表'!I4</f>
        <v>1.48</v>
      </c>
      <c r="D11" s="136">
        <v>100</v>
      </c>
      <c r="E11" s="429">
        <v>2</v>
      </c>
      <c r="F11" s="136">
        <f>LOOKUP(E11,80:80,81:81)-LOOKUP(C11,80:80,81:81)+100</f>
        <v>99</v>
      </c>
      <c r="G11" s="430">
        <v>2</v>
      </c>
      <c r="H11" s="136">
        <f>LOOKUP(G11,80:80,81:81)-LOOKUP(C11,80:80,81:81)+100</f>
        <v>99</v>
      </c>
      <c r="I11" s="429">
        <v>2.2000000000000002</v>
      </c>
      <c r="J11" s="136">
        <f>LOOKUP(I11,80:80,81:81)-LOOKUP(C11,80:80,81:81)+100</f>
        <v>99</v>
      </c>
      <c r="K11" s="673">
        <v>1</v>
      </c>
      <c r="L11" s="1138"/>
      <c r="M11" s="1131"/>
      <c r="N11" s="1131"/>
      <c r="O11" s="1139"/>
      <c r="P11" s="3320"/>
      <c r="Q11" s="1795" t="str">
        <f t="shared" si="6"/>
        <v>容积率</v>
      </c>
      <c r="R11" s="770" t="s">
        <v>17</v>
      </c>
      <c r="S11" s="771">
        <f t="shared" si="0"/>
        <v>99</v>
      </c>
      <c r="T11" s="770" t="s">
        <v>17</v>
      </c>
      <c r="U11" s="771">
        <f t="shared" si="1"/>
        <v>99</v>
      </c>
      <c r="V11" s="770" t="s">
        <v>17</v>
      </c>
      <c r="W11" s="771">
        <f t="shared" si="2"/>
        <v>99</v>
      </c>
      <c r="X11" s="772"/>
      <c r="Y11" s="3151"/>
      <c r="Z11" s="55" t="str">
        <f t="shared" si="7"/>
        <v>容积率</v>
      </c>
      <c r="AA11" s="773">
        <f t="shared" si="3"/>
        <v>1.0101010101010102</v>
      </c>
      <c r="AB11" s="773">
        <f t="shared" si="4"/>
        <v>1.0101010101010102</v>
      </c>
      <c r="AC11" s="773">
        <f t="shared" si="5"/>
        <v>1.0101010101010102</v>
      </c>
    </row>
    <row r="12" spans="1:30" s="117" customFormat="1" ht="15.75" thickBot="1">
      <c r="A12" s="431"/>
      <c r="B12" s="3014"/>
      <c r="C12" s="3015"/>
      <c r="D12" s="3016">
        <v>100</v>
      </c>
      <c r="E12" s="3017"/>
      <c r="F12" s="3018">
        <f>SUMIF(82:82,E12,83:83)-SUMIF(82:82,C12,83:83)+100</f>
        <v>100</v>
      </c>
      <c r="G12" s="3017"/>
      <c r="H12" s="3018">
        <f>SUMIF(82:82,G12,83:83)-SUMIF(82:82,C12,83:83)+100</f>
        <v>100</v>
      </c>
      <c r="I12" s="3019"/>
      <c r="J12" s="136">
        <f>SUMIF(82:82,I12,83:83)-SUMIF(82:82,C12,83:83)+100</f>
        <v>100</v>
      </c>
      <c r="K12" s="672"/>
      <c r="L12" s="1132"/>
      <c r="M12" s="1133"/>
      <c r="N12" s="1133"/>
      <c r="O12" s="1134"/>
      <c r="P12" s="3320"/>
      <c r="Q12" s="1795">
        <f t="shared" si="6"/>
        <v>0</v>
      </c>
      <c r="R12" s="770" t="s">
        <v>17</v>
      </c>
      <c r="S12" s="771">
        <f t="shared" si="0"/>
        <v>100</v>
      </c>
      <c r="T12" s="770" t="s">
        <v>17</v>
      </c>
      <c r="U12" s="771">
        <f t="shared" si="1"/>
        <v>100</v>
      </c>
      <c r="V12" s="770" t="s">
        <v>17</v>
      </c>
      <c r="W12" s="771">
        <f t="shared" si="2"/>
        <v>100</v>
      </c>
      <c r="X12" s="772"/>
      <c r="Y12" s="3151"/>
      <c r="Z12" s="55">
        <f t="shared" si="7"/>
        <v>0</v>
      </c>
      <c r="AA12" s="773">
        <f>D12/F12</f>
        <v>1</v>
      </c>
      <c r="AB12" s="773">
        <f>D12/H12</f>
        <v>1</v>
      </c>
      <c r="AC12" s="773">
        <f>D12/J12</f>
        <v>1</v>
      </c>
    </row>
    <row r="13" spans="1:30" ht="15" hidden="1">
      <c r="A13" s="428"/>
      <c r="B13" s="2597">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320"/>
      <c r="Q13" s="1795">
        <f t="shared" si="6"/>
        <v>111</v>
      </c>
      <c r="R13" s="770" t="s">
        <v>17</v>
      </c>
      <c r="S13" s="771">
        <f t="shared" si="0"/>
        <v>100</v>
      </c>
      <c r="T13" s="770" t="s">
        <v>17</v>
      </c>
      <c r="U13" s="771">
        <f t="shared" si="1"/>
        <v>100</v>
      </c>
      <c r="V13" s="770" t="s">
        <v>17</v>
      </c>
      <c r="W13" s="771">
        <f t="shared" si="2"/>
        <v>100</v>
      </c>
      <c r="X13" s="772"/>
      <c r="Y13" s="3151"/>
      <c r="Z13" s="55">
        <f t="shared" si="7"/>
        <v>111</v>
      </c>
      <c r="AA13" s="773">
        <f>D13/F13</f>
        <v>1</v>
      </c>
      <c r="AB13" s="773">
        <f>D13/H13</f>
        <v>1</v>
      </c>
      <c r="AC13" s="773">
        <f>D13/J13</f>
        <v>1</v>
      </c>
    </row>
    <row r="14" spans="1:30" ht="15.75" hidden="1" thickBot="1">
      <c r="A14" s="436"/>
      <c r="B14" s="2599">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320"/>
      <c r="Q14" s="1795">
        <f t="shared" si="6"/>
        <v>111</v>
      </c>
      <c r="R14" s="770" t="s">
        <v>17</v>
      </c>
      <c r="S14" s="771">
        <f t="shared" si="0"/>
        <v>100</v>
      </c>
      <c r="T14" s="770" t="s">
        <v>17</v>
      </c>
      <c r="U14" s="771">
        <f t="shared" si="1"/>
        <v>100</v>
      </c>
      <c r="V14" s="770" t="s">
        <v>17</v>
      </c>
      <c r="W14" s="771">
        <f t="shared" si="2"/>
        <v>100</v>
      </c>
      <c r="X14" s="772"/>
      <c r="Y14" s="3151"/>
      <c r="Z14" s="55">
        <f t="shared" si="7"/>
        <v>111</v>
      </c>
      <c r="AA14" s="773">
        <f>D14/F14</f>
        <v>1</v>
      </c>
      <c r="AB14" s="773">
        <f>D14/H14</f>
        <v>1</v>
      </c>
      <c r="AC14" s="773">
        <f>D14/J14</f>
        <v>1</v>
      </c>
    </row>
    <row r="15" spans="1:30" ht="156.75">
      <c r="A15" s="440" t="s">
        <v>2554</v>
      </c>
      <c r="B15" s="69" t="s">
        <v>2083</v>
      </c>
      <c r="C15" s="2600" t="str">
        <f>估价对象房地状况!C15</f>
        <v>估价对象周边居住用地比例大、居住小区规模大且社区发展完善程度较好，如北京晨浩花园、海德堡小区、柏林在线等住宅小区，综合评价居住社区成熟度好。</v>
      </c>
      <c r="D15" s="441">
        <v>100</v>
      </c>
      <c r="E15" s="2983" t="s">
        <v>3377</v>
      </c>
      <c r="F15" s="441">
        <f>SUMIF(88:88,E16,89:89)-SUMIF(88:88,C16,89:89)+100</f>
        <v>100</v>
      </c>
      <c r="G15" s="2983" t="s">
        <v>3377</v>
      </c>
      <c r="H15" s="441">
        <f>SUMIF(88:88,G16,89:89)-SUMIF(88:88,C16,89:89)+100</f>
        <v>100</v>
      </c>
      <c r="I15" s="2983" t="s">
        <v>3386</v>
      </c>
      <c r="J15" s="441">
        <f>SUMIF(88:88,I16,89:89)-SUMIF(88:88,C16,89:89)+100</f>
        <v>100</v>
      </c>
      <c r="K15" s="673"/>
      <c r="L15" s="1140"/>
      <c r="M15" s="1131"/>
      <c r="N15" s="1131"/>
      <c r="O15" s="1139"/>
      <c r="P15" s="3322" t="s">
        <v>2555</v>
      </c>
      <c r="Q15" s="1810" t="str">
        <f t="shared" si="6"/>
        <v>居住社区成熟度</v>
      </c>
      <c r="R15" s="774" t="s">
        <v>17</v>
      </c>
      <c r="S15" s="775">
        <f t="shared" si="0"/>
        <v>100</v>
      </c>
      <c r="T15" s="774" t="s">
        <v>17</v>
      </c>
      <c r="U15" s="775">
        <f t="shared" si="1"/>
        <v>100</v>
      </c>
      <c r="V15" s="774" t="s">
        <v>17</v>
      </c>
      <c r="W15" s="775">
        <f t="shared" si="2"/>
        <v>100</v>
      </c>
      <c r="X15" s="1813"/>
      <c r="Y15" s="3322" t="s">
        <v>2555</v>
      </c>
      <c r="Z15" s="1814" t="str">
        <f t="shared" si="7"/>
        <v>居住社区成熟度</v>
      </c>
      <c r="AA15" s="1811">
        <f t="shared" si="3"/>
        <v>1</v>
      </c>
      <c r="AB15" s="1811">
        <f t="shared" si="4"/>
        <v>1</v>
      </c>
      <c r="AC15" s="1811">
        <f t="shared" si="5"/>
        <v>1</v>
      </c>
    </row>
    <row r="16" spans="1:30" ht="15">
      <c r="A16" s="428"/>
      <c r="B16" s="446"/>
      <c r="C16" s="447" t="s">
        <v>3190</v>
      </c>
      <c r="D16" s="448"/>
      <c r="E16" s="447" t="s">
        <v>3190</v>
      </c>
      <c r="F16" s="448"/>
      <c r="G16" s="447" t="s">
        <v>3190</v>
      </c>
      <c r="H16" s="450"/>
      <c r="I16" s="447" t="s">
        <v>3190</v>
      </c>
      <c r="J16" s="448"/>
      <c r="K16" s="672"/>
      <c r="L16" s="1140"/>
      <c r="M16" s="1131"/>
      <c r="N16" s="1131"/>
      <c r="O16" s="1139"/>
      <c r="P16" s="3323"/>
      <c r="Q16" s="1810"/>
      <c r="R16" s="774"/>
      <c r="S16" s="775"/>
      <c r="T16" s="774"/>
      <c r="U16" s="775"/>
      <c r="V16" s="774"/>
      <c r="W16" s="775"/>
      <c r="X16" s="1813"/>
      <c r="Y16" s="3323"/>
      <c r="Z16" s="1814"/>
      <c r="AA16" s="1811">
        <v>1</v>
      </c>
      <c r="AB16" s="1811">
        <v>1</v>
      </c>
      <c r="AC16" s="1811">
        <v>1</v>
      </c>
    </row>
    <row r="17" spans="1:29" ht="71.25" hidden="1">
      <c r="A17" s="428"/>
      <c r="B17" s="451" t="s">
        <v>2648</v>
      </c>
      <c r="C17" s="2660"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323"/>
      <c r="Q17" s="1810" t="str">
        <f>B17</f>
        <v>商业繁华度</v>
      </c>
      <c r="R17" s="774" t="s">
        <v>17</v>
      </c>
      <c r="S17" s="775">
        <f>F17</f>
        <v>100</v>
      </c>
      <c r="T17" s="774" t="s">
        <v>17</v>
      </c>
      <c r="U17" s="775">
        <f>H17</f>
        <v>100</v>
      </c>
      <c r="V17" s="774" t="s">
        <v>17</v>
      </c>
      <c r="W17" s="775">
        <f>J17</f>
        <v>100</v>
      </c>
      <c r="X17" s="1813"/>
      <c r="Y17" s="3323"/>
      <c r="Z17" s="1814" t="str">
        <f>Q17</f>
        <v>商业繁华度</v>
      </c>
      <c r="AA17" s="1811">
        <f t="shared" si="3"/>
        <v>1</v>
      </c>
      <c r="AB17" s="1811">
        <f t="shared" si="4"/>
        <v>1</v>
      </c>
      <c r="AC17" s="1811">
        <f t="shared" si="5"/>
        <v>1</v>
      </c>
    </row>
    <row r="18" spans="1:29" ht="15" hidden="1">
      <c r="A18" s="428"/>
      <c r="B18" s="456"/>
      <c r="C18" s="2605"/>
      <c r="D18" s="450"/>
      <c r="E18" s="2607"/>
      <c r="F18" s="450"/>
      <c r="G18" s="2607"/>
      <c r="H18" s="448"/>
      <c r="I18" s="2606"/>
      <c r="J18" s="448"/>
      <c r="K18" s="672"/>
      <c r="L18" s="1140"/>
      <c r="M18" s="1131"/>
      <c r="N18" s="1131"/>
      <c r="O18" s="1139"/>
      <c r="P18" s="3323"/>
      <c r="Q18" s="1810"/>
      <c r="R18" s="774"/>
      <c r="S18" s="775"/>
      <c r="T18" s="774"/>
      <c r="U18" s="775"/>
      <c r="V18" s="774"/>
      <c r="W18" s="775"/>
      <c r="X18" s="1813"/>
      <c r="Y18" s="3323"/>
      <c r="Z18" s="1814"/>
      <c r="AA18" s="1811">
        <v>1</v>
      </c>
      <c r="AB18" s="1811">
        <v>1</v>
      </c>
      <c r="AC18" s="1811">
        <v>1</v>
      </c>
    </row>
    <row r="19" spans="1:29" ht="71.25" hidden="1">
      <c r="A19" s="428"/>
      <c r="B19" s="451" t="s">
        <v>2682</v>
      </c>
      <c r="C19" s="2660"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323"/>
      <c r="Q19" s="1810" t="str">
        <f>B19</f>
        <v>办公集聚程度</v>
      </c>
      <c r="R19" s="774" t="s">
        <v>17</v>
      </c>
      <c r="S19" s="775">
        <f>F19</f>
        <v>100</v>
      </c>
      <c r="T19" s="774" t="s">
        <v>17</v>
      </c>
      <c r="U19" s="775">
        <f>H19</f>
        <v>100</v>
      </c>
      <c r="V19" s="774" t="s">
        <v>17</v>
      </c>
      <c r="W19" s="775">
        <f>J19</f>
        <v>100</v>
      </c>
      <c r="X19" s="1813"/>
      <c r="Y19" s="3323"/>
      <c r="Z19" s="1814" t="str">
        <f>Q19</f>
        <v>办公集聚程度</v>
      </c>
      <c r="AA19" s="1811">
        <f t="shared" si="3"/>
        <v>1</v>
      </c>
      <c r="AB19" s="1811">
        <f t="shared" si="4"/>
        <v>1</v>
      </c>
      <c r="AC19" s="1811">
        <f t="shared" si="5"/>
        <v>1</v>
      </c>
    </row>
    <row r="20" spans="1:29" ht="15" hidden="1">
      <c r="A20" s="428"/>
      <c r="B20" s="456"/>
      <c r="C20" s="447"/>
      <c r="D20" s="448"/>
      <c r="E20" s="2602"/>
      <c r="F20" s="448"/>
      <c r="G20" s="2602"/>
      <c r="H20" s="448"/>
      <c r="I20" s="2601"/>
      <c r="J20" s="448"/>
      <c r="K20" s="672"/>
      <c r="L20" s="1140"/>
      <c r="M20" s="1131"/>
      <c r="N20" s="1131"/>
      <c r="O20" s="1139"/>
      <c r="P20" s="3323"/>
      <c r="Q20" s="1810"/>
      <c r="R20" s="774"/>
      <c r="S20" s="775"/>
      <c r="T20" s="774"/>
      <c r="U20" s="775"/>
      <c r="V20" s="774"/>
      <c r="W20" s="775"/>
      <c r="X20" s="1813"/>
      <c r="Y20" s="3323"/>
      <c r="Z20" s="1814"/>
      <c r="AA20" s="1811">
        <v>1</v>
      </c>
      <c r="AB20" s="1811">
        <v>1</v>
      </c>
      <c r="AC20" s="1811">
        <v>1</v>
      </c>
    </row>
    <row r="21" spans="1:29" ht="128.25">
      <c r="A21" s="428"/>
      <c r="B21" s="451" t="s">
        <v>2704</v>
      </c>
      <c r="C21" s="2604" t="str">
        <f>估价对象房地状况!C18</f>
        <v>估价对象多面临街，周边道路路网较为密集，公共交通通达情况较好，有417、533路等、停车便捷程度较好，综合评价交通便捷度较好。</v>
      </c>
      <c r="D21" s="450">
        <v>100</v>
      </c>
      <c r="E21" s="452" t="s">
        <v>3379</v>
      </c>
      <c r="F21" s="455">
        <f>SUMIF(94:94,E22,95:95)-SUMIF(94:94,C22,95:95)+100</f>
        <v>100</v>
      </c>
      <c r="G21" s="452" t="s">
        <v>3379</v>
      </c>
      <c r="H21" s="450">
        <f>SUMIF(94:94,G22,95:95)-SUMIF(94:94,C22,95:95)+100</f>
        <v>100</v>
      </c>
      <c r="I21" s="452" t="s">
        <v>3387</v>
      </c>
      <c r="J21" s="450">
        <f>SUMIF(94:94,I22,95:95)-SUMIF(94:94,C22,95:95)+100</f>
        <v>100</v>
      </c>
      <c r="K21" s="673"/>
      <c r="L21" s="1140"/>
      <c r="M21" s="1131"/>
      <c r="N21" s="1131"/>
      <c r="O21" s="1139"/>
      <c r="P21" s="3323"/>
      <c r="Q21" s="1810" t="str">
        <f>B21</f>
        <v>交通便捷度</v>
      </c>
      <c r="R21" s="774" t="s">
        <v>17</v>
      </c>
      <c r="S21" s="775">
        <f>F21</f>
        <v>100</v>
      </c>
      <c r="T21" s="774" t="s">
        <v>17</v>
      </c>
      <c r="U21" s="775">
        <f>H21</f>
        <v>100</v>
      </c>
      <c r="V21" s="774" t="s">
        <v>17</v>
      </c>
      <c r="W21" s="775">
        <f>J21</f>
        <v>100</v>
      </c>
      <c r="X21" s="1813"/>
      <c r="Y21" s="3323"/>
      <c r="Z21" s="1814" t="str">
        <f>Q21</f>
        <v>交通便捷度</v>
      </c>
      <c r="AA21" s="1811">
        <f t="shared" si="3"/>
        <v>1</v>
      </c>
      <c r="AB21" s="1811">
        <f t="shared" si="4"/>
        <v>1</v>
      </c>
      <c r="AC21" s="1811">
        <f t="shared" si="5"/>
        <v>1</v>
      </c>
    </row>
    <row r="22" spans="1:29" ht="15">
      <c r="A22" s="428"/>
      <c r="B22" s="1384"/>
      <c r="C22" s="447" t="s">
        <v>3189</v>
      </c>
      <c r="D22" s="450"/>
      <c r="E22" s="447" t="s">
        <v>3189</v>
      </c>
      <c r="F22" s="448"/>
      <c r="G22" s="447" t="s">
        <v>3189</v>
      </c>
      <c r="H22" s="448"/>
      <c r="I22" s="447" t="s">
        <v>3189</v>
      </c>
      <c r="J22" s="448"/>
      <c r="K22" s="672"/>
      <c r="L22" s="1140"/>
      <c r="M22" s="1131"/>
      <c r="N22" s="1131"/>
      <c r="O22" s="1139"/>
      <c r="P22" s="3323"/>
      <c r="Q22" s="1810"/>
      <c r="R22" s="774"/>
      <c r="S22" s="775"/>
      <c r="T22" s="774"/>
      <c r="U22" s="775"/>
      <c r="V22" s="774"/>
      <c r="W22" s="775"/>
      <c r="X22" s="1813"/>
      <c r="Y22" s="3323"/>
      <c r="Z22" s="1814"/>
      <c r="AA22" s="1811">
        <v>1</v>
      </c>
      <c r="AB22" s="1811">
        <v>1</v>
      </c>
      <c r="AC22" s="1811">
        <v>1</v>
      </c>
    </row>
    <row r="23" spans="1:29" ht="42.75">
      <c r="A23" s="404"/>
      <c r="B23" s="451" t="s">
        <v>2742</v>
      </c>
      <c r="C23" s="1389" t="str">
        <f>估价对象房地状况!C19</f>
        <v>区域内多为住宅用地，对土地利用无不利影响。</v>
      </c>
      <c r="D23" s="455">
        <v>100</v>
      </c>
      <c r="E23" s="3096" t="s">
        <v>3381</v>
      </c>
      <c r="F23" s="455">
        <f>SUMIF(96:96,E24,97:97)-SUMIF(96:96,C24,97:97)+100</f>
        <v>100</v>
      </c>
      <c r="G23" s="2989" t="s">
        <v>3381</v>
      </c>
      <c r="H23" s="455">
        <f>SUMIF(96:96,G24,97:97)-SUMIF(96:96,C24,97:97)+100</f>
        <v>100</v>
      </c>
      <c r="I23" s="2989" t="s">
        <v>3381</v>
      </c>
      <c r="J23" s="455">
        <f>SUMIF(96:96,I24,97:97)-SUMIF(96:96,C24,97:97)+100</f>
        <v>100</v>
      </c>
      <c r="K23" s="673"/>
      <c r="L23" s="1140"/>
      <c r="M23" s="1131"/>
      <c r="N23" s="1131"/>
      <c r="O23" s="1139"/>
      <c r="P23" s="3323"/>
      <c r="Q23" s="1810" t="str">
        <f t="shared" ref="Q23:Q37" si="8">B23</f>
        <v>区域土地利用方向</v>
      </c>
      <c r="R23" s="774" t="s">
        <v>17</v>
      </c>
      <c r="S23" s="775">
        <f>F23</f>
        <v>100</v>
      </c>
      <c r="T23" s="774" t="s">
        <v>17</v>
      </c>
      <c r="U23" s="775">
        <f>H23</f>
        <v>100</v>
      </c>
      <c r="V23" s="774" t="s">
        <v>17</v>
      </c>
      <c r="W23" s="775">
        <f>J23</f>
        <v>100</v>
      </c>
      <c r="X23" s="1813"/>
      <c r="Y23" s="3323"/>
      <c r="Z23" s="1814" t="str">
        <f>Q23</f>
        <v>区域土地利用方向</v>
      </c>
      <c r="AA23" s="1811">
        <f t="shared" si="3"/>
        <v>1</v>
      </c>
      <c r="AB23" s="1811">
        <f t="shared" si="4"/>
        <v>1</v>
      </c>
      <c r="AC23" s="1811">
        <f t="shared" si="5"/>
        <v>1</v>
      </c>
    </row>
    <row r="24" spans="1:29" ht="15">
      <c r="A24" s="404"/>
      <c r="B24" s="456"/>
      <c r="C24" s="616" t="s">
        <v>3189</v>
      </c>
      <c r="D24" s="448"/>
      <c r="E24" s="616" t="s">
        <v>3189</v>
      </c>
      <c r="F24" s="448"/>
      <c r="G24" s="616" t="s">
        <v>3189</v>
      </c>
      <c r="H24" s="448"/>
      <c r="I24" s="616" t="s">
        <v>3189</v>
      </c>
      <c r="J24" s="448"/>
      <c r="K24" s="809"/>
      <c r="L24" s="1140"/>
      <c r="M24" s="1131"/>
      <c r="N24" s="1131"/>
      <c r="O24" s="1139"/>
      <c r="P24" s="3323"/>
      <c r="Q24" s="1810"/>
      <c r="R24" s="774"/>
      <c r="S24" s="775"/>
      <c r="T24" s="774"/>
      <c r="U24" s="775"/>
      <c r="V24" s="774"/>
      <c r="W24" s="775"/>
      <c r="X24" s="1813"/>
      <c r="Y24" s="3323"/>
      <c r="Z24" s="1814"/>
      <c r="AA24" s="1811"/>
      <c r="AB24" s="1811"/>
      <c r="AC24" s="1811"/>
    </row>
    <row r="25" spans="1:29" ht="99.75">
      <c r="A25" s="404"/>
      <c r="B25" s="1384" t="s">
        <v>2743</v>
      </c>
      <c r="C25" s="2660" t="str">
        <f>估价对象房地状况!C20</f>
        <v>区域自然环境：未来科技城滨河公园；人文环境：无展览馆、博物馆等；综合评价环境状况一般。</v>
      </c>
      <c r="D25" s="450">
        <v>100</v>
      </c>
      <c r="E25" s="3096" t="s">
        <v>3383</v>
      </c>
      <c r="F25" s="450">
        <f>SUMIF(98:98,E26,99:99)-SUMIF(98:98,C26,99:99)+100</f>
        <v>100</v>
      </c>
      <c r="G25" s="3096" t="s">
        <v>3383</v>
      </c>
      <c r="H25" s="450">
        <f>SUMIF(98:98,G26,99:99)-SUMIF(98:98,C26,99:99)+100</f>
        <v>100</v>
      </c>
      <c r="I25" s="3096" t="s">
        <v>3388</v>
      </c>
      <c r="J25" s="450">
        <f>SUMIF(98:98,I26,99:99)-SUMIF(98:98,C26,99:99)+100</f>
        <v>100</v>
      </c>
      <c r="K25" s="673"/>
      <c r="L25" s="1140"/>
      <c r="M25" s="1131"/>
      <c r="N25" s="1131"/>
      <c r="O25" s="1139"/>
      <c r="P25" s="3323"/>
      <c r="Q25" s="1810" t="str">
        <f t="shared" si="8"/>
        <v>自然及人文环境状况</v>
      </c>
      <c r="R25" s="774" t="s">
        <v>17</v>
      </c>
      <c r="S25" s="775">
        <f>F25</f>
        <v>100</v>
      </c>
      <c r="T25" s="774" t="s">
        <v>17</v>
      </c>
      <c r="U25" s="775">
        <f>H25</f>
        <v>100</v>
      </c>
      <c r="V25" s="774" t="s">
        <v>17</v>
      </c>
      <c r="W25" s="775">
        <f>J25</f>
        <v>100</v>
      </c>
      <c r="X25" s="1813"/>
      <c r="Y25" s="3323"/>
      <c r="Z25" s="1814" t="str">
        <f>Q25</f>
        <v>自然及人文环境状况</v>
      </c>
      <c r="AA25" s="1811">
        <f t="shared" si="3"/>
        <v>1</v>
      </c>
      <c r="AB25" s="1811">
        <f t="shared" si="4"/>
        <v>1</v>
      </c>
      <c r="AC25" s="1811">
        <f t="shared" si="5"/>
        <v>1</v>
      </c>
    </row>
    <row r="26" spans="1:29" ht="15">
      <c r="A26" s="404"/>
      <c r="B26" s="456"/>
      <c r="C26" s="447" t="s">
        <v>3192</v>
      </c>
      <c r="D26" s="448"/>
      <c r="E26" s="2608" t="s">
        <v>3192</v>
      </c>
      <c r="F26" s="448"/>
      <c r="G26" s="2608" t="s">
        <v>3192</v>
      </c>
      <c r="H26" s="448"/>
      <c r="I26" s="447" t="s">
        <v>3192</v>
      </c>
      <c r="J26" s="448"/>
      <c r="K26" s="672"/>
      <c r="L26" s="1140"/>
      <c r="M26" s="1131"/>
      <c r="N26" s="1131"/>
      <c r="O26" s="1139"/>
      <c r="P26" s="3323"/>
      <c r="Q26" s="1810"/>
      <c r="R26" s="774"/>
      <c r="S26" s="775"/>
      <c r="T26" s="774"/>
      <c r="U26" s="775"/>
      <c r="V26" s="774"/>
      <c r="W26" s="775"/>
      <c r="X26" s="1813"/>
      <c r="Y26" s="3323"/>
      <c r="Z26" s="1814"/>
      <c r="AA26" s="1811">
        <v>1</v>
      </c>
      <c r="AB26" s="1811">
        <v>1</v>
      </c>
      <c r="AC26" s="1811">
        <v>1</v>
      </c>
    </row>
    <row r="27" spans="1:29" s="117" customFormat="1" ht="213.75">
      <c r="A27" s="649"/>
      <c r="B27" s="1384" t="s">
        <v>2649</v>
      </c>
      <c r="C27" s="2604" t="str">
        <f>估价对象房地状况!C21</f>
        <v>估价对象所在区域2公里范围内有：银行（中国银行、北京农村商业银行），购物（物联隆超市、超市发超市）、医院（北七家社区卫生服务中心），学校（北京市晨星学校、伊顿双语幼儿园），餐饮等，公共配套设施齐备情况较好。</v>
      </c>
      <c r="D27" s="450">
        <v>100</v>
      </c>
      <c r="E27" s="452" t="s">
        <v>3385</v>
      </c>
      <c r="F27" s="450">
        <f>SUMIF(100:100,E28,101:101)-SUMIF(100:100,C28,101:101)+100</f>
        <v>100</v>
      </c>
      <c r="G27" s="452" t="s">
        <v>3385</v>
      </c>
      <c r="H27" s="450">
        <f>SUMIF(100:100,G28,101:101)-SUMIF(100:100,C28,101:101)+100</f>
        <v>100</v>
      </c>
      <c r="I27" s="452" t="s">
        <v>3389</v>
      </c>
      <c r="J27" s="450">
        <f>SUMIF(100:100,I28,101:101)-SUMIF(100:100,C28,101:101)+100</f>
        <v>100</v>
      </c>
      <c r="K27" s="673"/>
      <c r="L27" s="1132"/>
      <c r="M27" s="1133"/>
      <c r="N27" s="1133"/>
      <c r="O27" s="1134"/>
      <c r="P27" s="3323"/>
      <c r="Q27" s="1795" t="str">
        <f t="shared" si="8"/>
        <v>公共配套设施</v>
      </c>
      <c r="R27" s="770" t="s">
        <v>17</v>
      </c>
      <c r="S27" s="771">
        <f>F27</f>
        <v>100</v>
      </c>
      <c r="T27" s="770" t="s">
        <v>17</v>
      </c>
      <c r="U27" s="771">
        <f>H27</f>
        <v>100</v>
      </c>
      <c r="V27" s="770" t="s">
        <v>17</v>
      </c>
      <c r="W27" s="771">
        <f>J27</f>
        <v>100</v>
      </c>
      <c r="X27" s="772"/>
      <c r="Y27" s="3323"/>
      <c r="Z27" s="55" t="str">
        <f>Q27</f>
        <v>公共配套设施</v>
      </c>
      <c r="AA27" s="1811">
        <f>D27/F27</f>
        <v>1</v>
      </c>
      <c r="AB27" s="1811">
        <f>D27/H27</f>
        <v>1</v>
      </c>
      <c r="AC27" s="1811">
        <f>D27/J27</f>
        <v>1</v>
      </c>
    </row>
    <row r="28" spans="1:29" s="117" customFormat="1" ht="15">
      <c r="A28" s="649"/>
      <c r="B28" s="456"/>
      <c r="C28" s="2696" t="s">
        <v>3189</v>
      </c>
      <c r="D28" s="448"/>
      <c r="E28" s="2696" t="s">
        <v>3189</v>
      </c>
      <c r="F28" s="448"/>
      <c r="G28" s="2696" t="s">
        <v>3189</v>
      </c>
      <c r="H28" s="448"/>
      <c r="I28" s="2696" t="s">
        <v>3189</v>
      </c>
      <c r="J28" s="448"/>
      <c r="K28" s="672"/>
      <c r="L28" s="1132"/>
      <c r="M28" s="1133"/>
      <c r="N28" s="1133"/>
      <c r="O28" s="1134"/>
      <c r="P28" s="3323"/>
      <c r="Q28" s="1795"/>
      <c r="R28" s="770"/>
      <c r="S28" s="771"/>
      <c r="T28" s="770"/>
      <c r="U28" s="771"/>
      <c r="V28" s="770"/>
      <c r="W28" s="771"/>
      <c r="X28" s="772"/>
      <c r="Y28" s="3323"/>
      <c r="Z28" s="55"/>
      <c r="AA28" s="1811">
        <v>1</v>
      </c>
      <c r="AB28" s="1811">
        <v>1</v>
      </c>
      <c r="AC28" s="1811">
        <v>1</v>
      </c>
    </row>
    <row r="29" spans="1:29" s="117" customFormat="1" ht="42.75">
      <c r="A29" s="649"/>
      <c r="B29" s="1384" t="s">
        <v>2650</v>
      </c>
      <c r="C29" s="2604" t="str">
        <f>估价对象房地状况!C22</f>
        <v>估价对象所在区域基础设施水平达到“七通”。</v>
      </c>
      <c r="D29" s="450">
        <v>100</v>
      </c>
      <c r="E29" s="3096" t="s">
        <v>3367</v>
      </c>
      <c r="F29" s="450">
        <f>SUMIF(102:102,E30,103:103)-SUMIF(102:102,C30,103:103)+100</f>
        <v>100</v>
      </c>
      <c r="G29" s="3096" t="s">
        <v>3367</v>
      </c>
      <c r="H29" s="450">
        <f>SUMIF(102:102,G30,103:103)-SUMIF(102:102,C30,103:103)+100</f>
        <v>100</v>
      </c>
      <c r="I29" s="2989" t="s">
        <v>3367</v>
      </c>
      <c r="J29" s="450">
        <f>SUMIF(102:102,I30,103:103)-SUMIF(102:102,C30,103:103)+100</f>
        <v>100</v>
      </c>
      <c r="K29" s="673"/>
      <c r="L29" s="1132"/>
      <c r="M29" s="1133"/>
      <c r="N29" s="1133"/>
      <c r="O29" s="1134"/>
      <c r="P29" s="3323"/>
      <c r="Q29" s="1795" t="str">
        <f t="shared" ref="Q29" si="9">B29</f>
        <v>基础设施水平</v>
      </c>
      <c r="R29" s="770" t="s">
        <v>17</v>
      </c>
      <c r="S29" s="771">
        <f>F29</f>
        <v>100</v>
      </c>
      <c r="T29" s="770" t="s">
        <v>17</v>
      </c>
      <c r="U29" s="771">
        <f>H29</f>
        <v>100</v>
      </c>
      <c r="V29" s="770" t="s">
        <v>17</v>
      </c>
      <c r="W29" s="771">
        <f>J29</f>
        <v>100</v>
      </c>
      <c r="X29" s="772"/>
      <c r="Y29" s="3323"/>
      <c r="Z29" s="55" t="str">
        <f>Q29</f>
        <v>基础设施水平</v>
      </c>
      <c r="AA29" s="1811">
        <f>D29/F29</f>
        <v>1</v>
      </c>
      <c r="AB29" s="1811">
        <f>D29/H29</f>
        <v>1</v>
      </c>
      <c r="AC29" s="1811">
        <f>D29/J29</f>
        <v>1</v>
      </c>
    </row>
    <row r="30" spans="1:29" s="117" customFormat="1" ht="15">
      <c r="A30" s="649"/>
      <c r="B30" s="456"/>
      <c r="C30" s="2696" t="s">
        <v>3191</v>
      </c>
      <c r="D30" s="448"/>
      <c r="E30" s="2697" t="s">
        <v>3191</v>
      </c>
      <c r="F30" s="448"/>
      <c r="G30" s="2697" t="s">
        <v>3191</v>
      </c>
      <c r="H30" s="448"/>
      <c r="I30" s="2697" t="s">
        <v>3191</v>
      </c>
      <c r="J30" s="448"/>
      <c r="K30" s="672"/>
      <c r="L30" s="1132"/>
      <c r="M30" s="1133"/>
      <c r="N30" s="1133"/>
      <c r="O30" s="1134"/>
      <c r="P30" s="3323"/>
      <c r="Q30" s="1795"/>
      <c r="R30" s="770"/>
      <c r="S30" s="771"/>
      <c r="T30" s="770"/>
      <c r="U30" s="771"/>
      <c r="V30" s="770"/>
      <c r="W30" s="771"/>
      <c r="X30" s="772"/>
      <c r="Y30" s="3323"/>
      <c r="Z30" s="55"/>
      <c r="AA30" s="1811">
        <v>1</v>
      </c>
      <c r="AB30" s="1811">
        <v>1</v>
      </c>
      <c r="AC30" s="1811">
        <v>1</v>
      </c>
    </row>
    <row r="31" spans="1:29" ht="15">
      <c r="A31" s="428"/>
      <c r="B31" s="456" t="s">
        <v>2651</v>
      </c>
      <c r="C31" s="616" t="s">
        <v>3188</v>
      </c>
      <c r="D31" s="435">
        <v>100</v>
      </c>
      <c r="E31" s="634" t="s">
        <v>3188</v>
      </c>
      <c r="F31" s="435">
        <f>SUMIF(104:104,E31,105:105)-SUMIF(104:104,C31,105:105)+100</f>
        <v>100</v>
      </c>
      <c r="G31" s="634" t="s">
        <v>3188</v>
      </c>
      <c r="H31" s="435">
        <f>SUMIF(104:104,G31,105:105)-SUMIF(104:104,C31,105:105)+100</f>
        <v>100</v>
      </c>
      <c r="I31" s="634" t="s">
        <v>3391</v>
      </c>
      <c r="J31" s="435">
        <f>SUMIF(104:104,I31,105:105)-SUMIF(104:104,C31,105:105)+100</f>
        <v>98</v>
      </c>
      <c r="K31" s="673">
        <v>1</v>
      </c>
      <c r="L31" s="1140"/>
      <c r="M31" s="1131"/>
      <c r="N31" s="1131"/>
      <c r="O31" s="1139"/>
      <c r="P31" s="3323"/>
      <c r="Q31" s="1810" t="str">
        <f t="shared" si="8"/>
        <v>临街状况</v>
      </c>
      <c r="R31" s="774" t="s">
        <v>17</v>
      </c>
      <c r="S31" s="775">
        <f t="shared" ref="S31:S45" si="10">F31</f>
        <v>100</v>
      </c>
      <c r="T31" s="774" t="s">
        <v>17</v>
      </c>
      <c r="U31" s="775">
        <f t="shared" ref="U31:U45" si="11">H31</f>
        <v>100</v>
      </c>
      <c r="V31" s="774" t="s">
        <v>17</v>
      </c>
      <c r="W31" s="775">
        <f t="shared" ref="W31:W45" si="12">J31</f>
        <v>98</v>
      </c>
      <c r="X31" s="1813"/>
      <c r="Y31" s="3323"/>
      <c r="Z31" s="1814" t="str">
        <f t="shared" ref="Z31:Z45" si="13">Q31</f>
        <v>临街状况</v>
      </c>
      <c r="AA31" s="1811">
        <f t="shared" si="3"/>
        <v>1</v>
      </c>
      <c r="AB31" s="1811">
        <f t="shared" si="4"/>
        <v>1</v>
      </c>
      <c r="AC31" s="1811">
        <f t="shared" si="5"/>
        <v>1.0204081632653061</v>
      </c>
    </row>
    <row r="32" spans="1:29" ht="27.75">
      <c r="A32" s="428"/>
      <c r="B32" s="1384" t="s">
        <v>2686</v>
      </c>
      <c r="C32" s="454" t="s">
        <v>3375</v>
      </c>
      <c r="D32" s="450">
        <v>100</v>
      </c>
      <c r="E32" s="3096" t="s">
        <v>3376</v>
      </c>
      <c r="F32" s="450">
        <f>SUMIF(106:106,E33,107:107)-SUMIF(106:106,C33,107:107)+100</f>
        <v>101</v>
      </c>
      <c r="G32" s="3096" t="s">
        <v>3376</v>
      </c>
      <c r="H32" s="450">
        <f>SUMIF(106:106,G33,107:107)-SUMIF(106:106,C33,107:107)+100</f>
        <v>101</v>
      </c>
      <c r="I32" s="2989" t="s">
        <v>3392</v>
      </c>
      <c r="J32" s="450">
        <f>SUMIF(106:106,I33,107:107)-SUMIF(106:106,C33,107:107)+100</f>
        <v>100</v>
      </c>
      <c r="K32" s="673">
        <v>1</v>
      </c>
      <c r="L32" s="1140"/>
      <c r="M32" s="1131"/>
      <c r="N32" s="1131"/>
      <c r="O32" s="1139"/>
      <c r="P32" s="3323"/>
      <c r="Q32" s="1810" t="str">
        <f t="shared" si="8"/>
        <v>毗邻道路的类型与等级</v>
      </c>
      <c r="R32" s="774" t="s">
        <v>17</v>
      </c>
      <c r="S32" s="775">
        <f t="shared" si="10"/>
        <v>101</v>
      </c>
      <c r="T32" s="774" t="s">
        <v>17</v>
      </c>
      <c r="U32" s="775">
        <f t="shared" si="11"/>
        <v>101</v>
      </c>
      <c r="V32" s="774" t="s">
        <v>17</v>
      </c>
      <c r="W32" s="775">
        <f t="shared" si="12"/>
        <v>100</v>
      </c>
      <c r="X32" s="1813"/>
      <c r="Y32" s="3323"/>
      <c r="Z32" s="1814" t="str">
        <f t="shared" si="13"/>
        <v>毗邻道路的类型与等级</v>
      </c>
      <c r="AA32" s="1811">
        <f t="shared" si="3"/>
        <v>0.99009900990099009</v>
      </c>
      <c r="AB32" s="1811">
        <f t="shared" si="4"/>
        <v>0.99009900990099009</v>
      </c>
      <c r="AC32" s="1811">
        <f t="shared" si="5"/>
        <v>1</v>
      </c>
    </row>
    <row r="33" spans="1:29" ht="15">
      <c r="A33" s="428"/>
      <c r="B33" s="456"/>
      <c r="C33" s="447" t="s">
        <v>3372</v>
      </c>
      <c r="D33" s="448"/>
      <c r="E33" s="2608" t="s">
        <v>3370</v>
      </c>
      <c r="F33" s="448"/>
      <c r="G33" s="2608" t="s">
        <v>3370</v>
      </c>
      <c r="H33" s="448"/>
      <c r="I33" s="447" t="s">
        <v>3372</v>
      </c>
      <c r="J33" s="448"/>
      <c r="K33" s="613"/>
      <c r="L33" s="1140"/>
      <c r="M33" s="1131"/>
      <c r="N33" s="1131"/>
      <c r="O33" s="1139"/>
      <c r="P33" s="3323"/>
      <c r="Q33" s="1810"/>
      <c r="R33" s="774"/>
      <c r="S33" s="775"/>
      <c r="T33" s="774"/>
      <c r="U33" s="775"/>
      <c r="V33" s="774"/>
      <c r="W33" s="775"/>
      <c r="X33" s="1813"/>
      <c r="Y33" s="3323"/>
      <c r="Z33" s="1814"/>
      <c r="AA33" s="1811">
        <v>1</v>
      </c>
      <c r="AB33" s="1811">
        <v>1</v>
      </c>
      <c r="AC33" s="1811">
        <v>1</v>
      </c>
    </row>
    <row r="34" spans="1:29" ht="15.75" thickBot="1">
      <c r="A34" s="428"/>
      <c r="B34" s="422" t="s">
        <v>2744</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323"/>
      <c r="Q34" s="1810" t="str">
        <f t="shared" si="8"/>
        <v>土地级别</v>
      </c>
      <c r="R34" s="774" t="s">
        <v>17</v>
      </c>
      <c r="S34" s="775">
        <f t="shared" si="10"/>
        <v>100</v>
      </c>
      <c r="T34" s="774" t="s">
        <v>17</v>
      </c>
      <c r="U34" s="775">
        <f t="shared" si="11"/>
        <v>100</v>
      </c>
      <c r="V34" s="774" t="s">
        <v>17</v>
      </c>
      <c r="W34" s="775">
        <f t="shared" si="12"/>
        <v>100</v>
      </c>
      <c r="X34" s="1813"/>
      <c r="Y34" s="3323"/>
      <c r="Z34" s="1814" t="str">
        <f t="shared" si="13"/>
        <v>土地级别</v>
      </c>
      <c r="AA34" s="1811">
        <f t="shared" si="3"/>
        <v>1</v>
      </c>
      <c r="AB34" s="1811">
        <f t="shared" si="4"/>
        <v>1</v>
      </c>
      <c r="AC34" s="1811">
        <f t="shared" si="5"/>
        <v>1</v>
      </c>
    </row>
    <row r="35" spans="1:29" ht="15" hidden="1">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323"/>
      <c r="Q35" s="1810">
        <f t="shared" si="8"/>
        <v>111</v>
      </c>
      <c r="R35" s="774" t="s">
        <v>17</v>
      </c>
      <c r="S35" s="775">
        <f t="shared" si="10"/>
        <v>100</v>
      </c>
      <c r="T35" s="774" t="s">
        <v>17</v>
      </c>
      <c r="U35" s="775">
        <f t="shared" si="11"/>
        <v>100</v>
      </c>
      <c r="V35" s="774" t="s">
        <v>17</v>
      </c>
      <c r="W35" s="775">
        <f t="shared" si="12"/>
        <v>100</v>
      </c>
      <c r="X35" s="1813"/>
      <c r="Y35" s="3323"/>
      <c r="Z35" s="1814">
        <f t="shared" si="13"/>
        <v>111</v>
      </c>
      <c r="AA35" s="1811">
        <f t="shared" si="3"/>
        <v>1</v>
      </c>
      <c r="AB35" s="1811">
        <f t="shared" si="4"/>
        <v>1</v>
      </c>
      <c r="AC35" s="1811">
        <f t="shared" si="5"/>
        <v>1</v>
      </c>
    </row>
    <row r="36" spans="1:29" ht="15" hidden="1">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324" t="s">
        <v>2560</v>
      </c>
      <c r="Q36" s="1810">
        <f t="shared" si="8"/>
        <v>111</v>
      </c>
      <c r="R36" s="774" t="s">
        <v>17</v>
      </c>
      <c r="S36" s="775">
        <f t="shared" si="10"/>
        <v>100</v>
      </c>
      <c r="T36" s="774" t="s">
        <v>17</v>
      </c>
      <c r="U36" s="775">
        <f t="shared" si="11"/>
        <v>100</v>
      </c>
      <c r="V36" s="774" t="s">
        <v>17</v>
      </c>
      <c r="W36" s="775">
        <f t="shared" si="12"/>
        <v>100</v>
      </c>
      <c r="X36" s="1813"/>
      <c r="Y36" s="3325" t="s">
        <v>2560</v>
      </c>
      <c r="Z36" s="1814">
        <f t="shared" si="13"/>
        <v>111</v>
      </c>
      <c r="AA36" s="1811">
        <f t="shared" si="3"/>
        <v>1</v>
      </c>
      <c r="AB36" s="1811">
        <f t="shared" si="4"/>
        <v>1</v>
      </c>
      <c r="AC36" s="1811">
        <f t="shared" si="5"/>
        <v>1</v>
      </c>
    </row>
    <row r="37" spans="1:29" s="471" customFormat="1" ht="15.75" hidden="1"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325"/>
      <c r="Q37" s="1810">
        <f t="shared" si="8"/>
        <v>111</v>
      </c>
      <c r="R37" s="777" t="s">
        <v>17</v>
      </c>
      <c r="S37" s="778">
        <f t="shared" si="10"/>
        <v>100</v>
      </c>
      <c r="T37" s="777" t="s">
        <v>17</v>
      </c>
      <c r="U37" s="778">
        <f t="shared" si="11"/>
        <v>100</v>
      </c>
      <c r="V37" s="777" t="s">
        <v>17</v>
      </c>
      <c r="W37" s="778">
        <f t="shared" si="12"/>
        <v>100</v>
      </c>
      <c r="X37" s="779"/>
      <c r="Y37" s="3325"/>
      <c r="Z37" s="780">
        <f t="shared" si="13"/>
        <v>111</v>
      </c>
      <c r="AA37" s="1811">
        <f t="shared" si="3"/>
        <v>1</v>
      </c>
      <c r="AB37" s="1811">
        <f t="shared" si="4"/>
        <v>1</v>
      </c>
      <c r="AC37" s="1811">
        <f t="shared" si="5"/>
        <v>1</v>
      </c>
    </row>
    <row r="38" spans="1:29" ht="15">
      <c r="A38" s="472" t="s">
        <v>2558</v>
      </c>
      <c r="B38" s="456" t="s">
        <v>2745</v>
      </c>
      <c r="C38" s="679">
        <v>52647.78</v>
      </c>
      <c r="D38" s="467">
        <v>100</v>
      </c>
      <c r="E38" s="679">
        <v>83732.679999999993</v>
      </c>
      <c r="F38" s="467">
        <f>LOOKUP(E38,117:117,118:118)-LOOKUP(C38,117:117,118:118)+100</f>
        <v>100</v>
      </c>
      <c r="G38" s="679">
        <v>89347.09</v>
      </c>
      <c r="H38" s="467">
        <f>LOOKUP(G38,117:117,118:118)-LOOKUP(C38,117:117,118:118)+100</f>
        <v>100</v>
      </c>
      <c r="I38" s="530">
        <v>44353.34</v>
      </c>
      <c r="J38" s="467">
        <f>LOOKUP(I38,117:117,118:118)-LOOKUP(C38,117:117,118:118)+100</f>
        <v>97</v>
      </c>
      <c r="K38" s="613"/>
      <c r="L38" s="1140"/>
      <c r="M38" s="1131"/>
      <c r="N38" s="1131"/>
      <c r="O38" s="1139"/>
      <c r="P38" s="3325"/>
      <c r="Q38" s="1810" t="str">
        <f>B38</f>
        <v>宗地面积</v>
      </c>
      <c r="R38" s="774" t="s">
        <v>17</v>
      </c>
      <c r="S38" s="775">
        <f t="shared" si="10"/>
        <v>100</v>
      </c>
      <c r="T38" s="774" t="s">
        <v>17</v>
      </c>
      <c r="U38" s="775">
        <f t="shared" si="11"/>
        <v>100</v>
      </c>
      <c r="V38" s="774" t="s">
        <v>17</v>
      </c>
      <c r="W38" s="775">
        <f t="shared" si="12"/>
        <v>97</v>
      </c>
      <c r="X38" s="1813"/>
      <c r="Y38" s="3325"/>
      <c r="Z38" s="1814" t="str">
        <f t="shared" si="13"/>
        <v>宗地面积</v>
      </c>
      <c r="AA38" s="1811">
        <f t="shared" si="3"/>
        <v>1</v>
      </c>
      <c r="AB38" s="1811">
        <f t="shared" si="4"/>
        <v>1</v>
      </c>
      <c r="AC38" s="1811">
        <f t="shared" si="5"/>
        <v>1.0309278350515463</v>
      </c>
    </row>
    <row r="39" spans="1:29" ht="15">
      <c r="A39" s="472"/>
      <c r="B39" s="422" t="s">
        <v>2746</v>
      </c>
      <c r="C39" s="2610" t="s">
        <v>3243</v>
      </c>
      <c r="D39" s="435">
        <v>100</v>
      </c>
      <c r="E39" s="2610" t="s">
        <v>3243</v>
      </c>
      <c r="F39" s="435">
        <f>SUMIF(119:119,E39,120:120)-SUMIF(119:119,C39,120:120)+100</f>
        <v>100</v>
      </c>
      <c r="G39" s="2610" t="s">
        <v>3244</v>
      </c>
      <c r="H39" s="435">
        <f>SUMIF(119:119,G39,120:120)-SUMIF(119:119,C39,120:120)+100</f>
        <v>99</v>
      </c>
      <c r="I39" s="2610" t="s">
        <v>3243</v>
      </c>
      <c r="J39" s="435">
        <f>SUMIF(119:119,I39,120:120)-SUMIF(119:119,C39,120:120)+100</f>
        <v>100</v>
      </c>
      <c r="K39" s="612">
        <v>1</v>
      </c>
      <c r="L39" s="1140"/>
      <c r="M39" s="1131"/>
      <c r="N39" s="1131"/>
      <c r="O39" s="1139"/>
      <c r="P39" s="3325"/>
      <c r="Q39" s="1810" t="str">
        <f t="shared" ref="Q39:Q45" si="14">B39</f>
        <v>宗地形状</v>
      </c>
      <c r="R39" s="774" t="s">
        <v>17</v>
      </c>
      <c r="S39" s="775">
        <f t="shared" si="10"/>
        <v>100</v>
      </c>
      <c r="T39" s="774" t="s">
        <v>17</v>
      </c>
      <c r="U39" s="775">
        <f t="shared" si="11"/>
        <v>99</v>
      </c>
      <c r="V39" s="774" t="s">
        <v>17</v>
      </c>
      <c r="W39" s="775">
        <f t="shared" si="12"/>
        <v>100</v>
      </c>
      <c r="X39" s="1813"/>
      <c r="Y39" s="3325"/>
      <c r="Z39" s="1814" t="str">
        <f t="shared" si="13"/>
        <v>宗地形状</v>
      </c>
      <c r="AA39" s="1811">
        <f t="shared" si="3"/>
        <v>1</v>
      </c>
      <c r="AB39" s="1811">
        <f t="shared" si="4"/>
        <v>1.0101010101010102</v>
      </c>
      <c r="AC39" s="1811">
        <f t="shared" si="5"/>
        <v>1</v>
      </c>
    </row>
    <row r="40" spans="1:29" ht="15">
      <c r="A40" s="472"/>
      <c r="B40" s="422" t="s">
        <v>2747</v>
      </c>
      <c r="C40" s="2610"/>
      <c r="D40" s="435">
        <v>100</v>
      </c>
      <c r="E40" s="2610"/>
      <c r="F40" s="435">
        <f>SUMIF(121:121,E40,122:122)-SUMIF(121:121,C40,122:122)+100</f>
        <v>100</v>
      </c>
      <c r="G40" s="2610"/>
      <c r="H40" s="435">
        <f>SUMIF(121:121,G40,122:122)-SUMIF(121:121,C40,122:122)+100</f>
        <v>100</v>
      </c>
      <c r="I40" s="2610"/>
      <c r="J40" s="435">
        <f>SUMIF(121:121,I40,122:122)-SUMIF(121:121,C40,122:122)+100</f>
        <v>100</v>
      </c>
      <c r="K40" s="612"/>
      <c r="L40" s="1140"/>
      <c r="M40" s="1131"/>
      <c r="N40" s="1131"/>
      <c r="O40" s="1139"/>
      <c r="P40" s="3325"/>
      <c r="Q40" s="1810" t="str">
        <f t="shared" si="14"/>
        <v>临街宽度及深度</v>
      </c>
      <c r="R40" s="774" t="s">
        <v>17</v>
      </c>
      <c r="S40" s="775">
        <f t="shared" si="10"/>
        <v>100</v>
      </c>
      <c r="T40" s="774" t="s">
        <v>17</v>
      </c>
      <c r="U40" s="775">
        <f t="shared" si="11"/>
        <v>100</v>
      </c>
      <c r="V40" s="774" t="s">
        <v>17</v>
      </c>
      <c r="W40" s="775">
        <f t="shared" si="12"/>
        <v>100</v>
      </c>
      <c r="X40" s="1813"/>
      <c r="Y40" s="3325"/>
      <c r="Z40" s="1814" t="str">
        <f t="shared" si="13"/>
        <v>临街宽度及深度</v>
      </c>
      <c r="AA40" s="1811">
        <f t="shared" si="3"/>
        <v>1</v>
      </c>
      <c r="AB40" s="1811">
        <f t="shared" si="4"/>
        <v>1</v>
      </c>
      <c r="AC40" s="1811">
        <f t="shared" si="5"/>
        <v>1</v>
      </c>
    </row>
    <row r="41" spans="1:29" s="117" customFormat="1" ht="15">
      <c r="A41" s="473"/>
      <c r="B41" s="422" t="s">
        <v>2748</v>
      </c>
      <c r="C41" s="2698" t="s">
        <v>3245</v>
      </c>
      <c r="D41" s="136">
        <v>100</v>
      </c>
      <c r="E41" s="2698" t="s">
        <v>3246</v>
      </c>
      <c r="F41" s="435">
        <f>SUMIF(123:123,E41,124:124)-SUMIF(123:123,C41,124:124)+100</f>
        <v>102</v>
      </c>
      <c r="G41" s="2698" t="s">
        <v>3246</v>
      </c>
      <c r="H41" s="435">
        <f>SUMIF(123:123,G41,124:124)-SUMIF(123:123,C41,124:124)+100</f>
        <v>102</v>
      </c>
      <c r="I41" s="2698" t="s">
        <v>3247</v>
      </c>
      <c r="J41" s="435">
        <f>SUMIF(123:123,I41,124:124)-SUMIF(123:123,C41,124:124)+100</f>
        <v>101</v>
      </c>
      <c r="K41" s="612">
        <v>0.5</v>
      </c>
      <c r="L41" s="1132"/>
      <c r="M41" s="1133"/>
      <c r="N41" s="1133"/>
      <c r="O41" s="1134"/>
      <c r="P41" s="3325"/>
      <c r="Q41" s="1810" t="str">
        <f t="shared" si="14"/>
        <v>宗地开发程度</v>
      </c>
      <c r="R41" s="770" t="s">
        <v>17</v>
      </c>
      <c r="S41" s="771">
        <f t="shared" si="10"/>
        <v>102</v>
      </c>
      <c r="T41" s="770" t="s">
        <v>17</v>
      </c>
      <c r="U41" s="771">
        <f t="shared" si="11"/>
        <v>102</v>
      </c>
      <c r="V41" s="770" t="s">
        <v>17</v>
      </c>
      <c r="W41" s="771">
        <f t="shared" si="12"/>
        <v>101</v>
      </c>
      <c r="X41" s="772"/>
      <c r="Y41" s="3325"/>
      <c r="Z41" s="55" t="str">
        <f t="shared" si="13"/>
        <v>宗地开发程度</v>
      </c>
      <c r="AA41" s="773">
        <f t="shared" si="3"/>
        <v>0.98039215686274506</v>
      </c>
      <c r="AB41" s="773">
        <f t="shared" si="4"/>
        <v>0.98039215686274506</v>
      </c>
      <c r="AC41" s="773">
        <f t="shared" si="5"/>
        <v>0.99009900990099009</v>
      </c>
    </row>
    <row r="42" spans="1:29" ht="15.75" thickBot="1">
      <c r="A42" s="472"/>
      <c r="B42" s="422" t="s">
        <v>2749</v>
      </c>
      <c r="C42" s="2610"/>
      <c r="D42" s="435">
        <v>100</v>
      </c>
      <c r="E42" s="2610"/>
      <c r="F42" s="435">
        <f>SUMIF(125:125,E42,126:126)-SUMIF(125:125,C42,126:126)+100</f>
        <v>100</v>
      </c>
      <c r="G42" s="2610"/>
      <c r="H42" s="435">
        <f>SUMIF(125:125,G42,126:126)-SUMIF(125:125,C42,126:126)+100</f>
        <v>100</v>
      </c>
      <c r="I42" s="2610"/>
      <c r="J42" s="435">
        <f>SUMIF(125:125,I42,126:126)-SUMIF(125:125,C42,126:126)+100</f>
        <v>100</v>
      </c>
      <c r="K42" s="612"/>
      <c r="L42" s="1140"/>
      <c r="M42" s="1131"/>
      <c r="N42" s="1131"/>
      <c r="O42" s="1139"/>
      <c r="P42" s="3325" t="s">
        <v>2560</v>
      </c>
      <c r="Q42" s="1810" t="str">
        <f t="shared" si="14"/>
        <v>工程地质条件</v>
      </c>
      <c r="R42" s="774" t="s">
        <v>17</v>
      </c>
      <c r="S42" s="775">
        <f t="shared" si="10"/>
        <v>100</v>
      </c>
      <c r="T42" s="774" t="s">
        <v>17</v>
      </c>
      <c r="U42" s="775">
        <f t="shared" si="11"/>
        <v>100</v>
      </c>
      <c r="V42" s="774" t="s">
        <v>17</v>
      </c>
      <c r="W42" s="775">
        <f t="shared" si="12"/>
        <v>100</v>
      </c>
      <c r="X42" s="1813"/>
      <c r="Y42" s="3325" t="s">
        <v>2560</v>
      </c>
      <c r="Z42" s="1814" t="str">
        <f t="shared" si="13"/>
        <v>工程地质条件</v>
      </c>
      <c r="AA42" s="1811">
        <f t="shared" si="3"/>
        <v>1</v>
      </c>
      <c r="AB42" s="1811">
        <f t="shared" si="4"/>
        <v>1</v>
      </c>
      <c r="AC42" s="1811">
        <f t="shared" si="5"/>
        <v>1</v>
      </c>
    </row>
    <row r="43" spans="1:29" ht="15" hidden="1">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325"/>
      <c r="Q43" s="1810">
        <f t="shared" si="14"/>
        <v>111</v>
      </c>
      <c r="R43" s="774" t="s">
        <v>17</v>
      </c>
      <c r="S43" s="775">
        <f t="shared" si="10"/>
        <v>100</v>
      </c>
      <c r="T43" s="774" t="s">
        <v>17</v>
      </c>
      <c r="U43" s="775">
        <f t="shared" si="11"/>
        <v>100</v>
      </c>
      <c r="V43" s="774" t="s">
        <v>17</v>
      </c>
      <c r="W43" s="775">
        <f t="shared" si="12"/>
        <v>100</v>
      </c>
      <c r="X43" s="1813"/>
      <c r="Y43" s="3325"/>
      <c r="Z43" s="1814">
        <f t="shared" si="13"/>
        <v>111</v>
      </c>
      <c r="AA43" s="1811">
        <f t="shared" si="3"/>
        <v>1</v>
      </c>
      <c r="AB43" s="1811">
        <f t="shared" si="4"/>
        <v>1</v>
      </c>
      <c r="AC43" s="1811">
        <f t="shared" si="5"/>
        <v>1</v>
      </c>
    </row>
    <row r="44" spans="1:29" ht="15" hidden="1">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325"/>
      <c r="Q44" s="1810">
        <f t="shared" si="14"/>
        <v>111</v>
      </c>
      <c r="R44" s="774" t="s">
        <v>17</v>
      </c>
      <c r="S44" s="775">
        <f t="shared" si="10"/>
        <v>100</v>
      </c>
      <c r="T44" s="774" t="s">
        <v>17</v>
      </c>
      <c r="U44" s="775">
        <f t="shared" si="11"/>
        <v>100</v>
      </c>
      <c r="V44" s="774" t="s">
        <v>17</v>
      </c>
      <c r="W44" s="775">
        <f t="shared" si="12"/>
        <v>100</v>
      </c>
      <c r="X44" s="1813"/>
      <c r="Y44" s="3325"/>
      <c r="Z44" s="1814">
        <f t="shared" si="13"/>
        <v>111</v>
      </c>
      <c r="AA44" s="1811">
        <f t="shared" si="3"/>
        <v>1</v>
      </c>
      <c r="AB44" s="1811">
        <f t="shared" si="4"/>
        <v>1</v>
      </c>
      <c r="AC44" s="1811">
        <f t="shared" si="5"/>
        <v>1</v>
      </c>
    </row>
    <row r="45" spans="1:29" s="471" customFormat="1" ht="15.75" hidden="1" thickBot="1">
      <c r="A45" s="468"/>
      <c r="B45" s="1387">
        <v>111</v>
      </c>
      <c r="C45" s="2699"/>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325"/>
      <c r="Q45" s="1810">
        <f t="shared" si="14"/>
        <v>111</v>
      </c>
      <c r="R45" s="777" t="s">
        <v>17</v>
      </c>
      <c r="S45" s="778">
        <f t="shared" si="10"/>
        <v>100</v>
      </c>
      <c r="T45" s="777" t="s">
        <v>17</v>
      </c>
      <c r="U45" s="778">
        <f t="shared" si="11"/>
        <v>100</v>
      </c>
      <c r="V45" s="777" t="s">
        <v>17</v>
      </c>
      <c r="W45" s="778">
        <f t="shared" si="12"/>
        <v>100</v>
      </c>
      <c r="X45" s="779"/>
      <c r="Y45" s="3325"/>
      <c r="Z45" s="780">
        <f t="shared" si="13"/>
        <v>111</v>
      </c>
      <c r="AA45" s="1811">
        <f t="shared" si="3"/>
        <v>1</v>
      </c>
      <c r="AB45" s="1811">
        <f t="shared" si="4"/>
        <v>1</v>
      </c>
      <c r="AC45" s="1811">
        <f t="shared" si="5"/>
        <v>1</v>
      </c>
    </row>
    <row r="46" spans="1:29" ht="15">
      <c r="A46" s="479" t="s">
        <v>2715</v>
      </c>
      <c r="B46" s="2700" t="s">
        <v>2750</v>
      </c>
      <c r="C46" s="682" t="s">
        <v>1</v>
      </c>
      <c r="D46" s="481"/>
      <c r="E46" s="482">
        <v>27207</v>
      </c>
      <c r="F46" s="483"/>
      <c r="G46" s="484">
        <v>26363</v>
      </c>
      <c r="H46" s="485"/>
      <c r="I46" s="482">
        <v>22751</v>
      </c>
      <c r="J46" s="485"/>
      <c r="K46" s="783"/>
      <c r="L46" s="1143"/>
      <c r="M46" s="1144"/>
      <c r="N46" s="1131"/>
      <c r="O46" s="1144"/>
      <c r="P46" s="3320" t="str">
        <f>A46</f>
        <v>成交单价</v>
      </c>
      <c r="Q46" s="3320"/>
      <c r="R46" s="3326">
        <f>E46</f>
        <v>27207</v>
      </c>
      <c r="S46" s="3326"/>
      <c r="T46" s="3326">
        <f>G46</f>
        <v>26363</v>
      </c>
      <c r="U46" s="3326"/>
      <c r="V46" s="3326">
        <f>I46</f>
        <v>22751</v>
      </c>
      <c r="W46" s="3326"/>
      <c r="X46" s="759"/>
      <c r="Y46" s="781"/>
      <c r="Z46" s="759"/>
      <c r="AA46" s="759"/>
      <c r="AB46" s="759"/>
      <c r="AC46" s="759"/>
    </row>
    <row r="47" spans="1:29" ht="15.75" thickBot="1">
      <c r="A47" s="486" t="s">
        <v>2664</v>
      </c>
      <c r="B47" s="683"/>
      <c r="C47" s="490">
        <f>R48</f>
        <v>26793</v>
      </c>
      <c r="D47" s="489"/>
      <c r="E47" s="490">
        <f>R47</f>
        <v>28400</v>
      </c>
      <c r="F47" s="491"/>
      <c r="G47" s="488">
        <f>T47</f>
        <v>27797</v>
      </c>
      <c r="H47" s="489"/>
      <c r="I47" s="490">
        <f>V47</f>
        <v>24182</v>
      </c>
      <c r="J47" s="489"/>
      <c r="K47" s="784"/>
      <c r="L47" s="1143"/>
      <c r="M47" s="1144"/>
      <c r="N47" s="1144"/>
      <c r="O47" s="1144"/>
      <c r="P47" s="3320" t="str">
        <f>A47</f>
        <v>比较价值（元/平方米）</v>
      </c>
      <c r="Q47" s="3320"/>
      <c r="R47" s="3313">
        <f>ROUND(PRODUCT(R46,AA7:AA45),0)</f>
        <v>28400</v>
      </c>
      <c r="S47" s="3313"/>
      <c r="T47" s="3313">
        <f>ROUND(PRODUCT(T46,AB7:AB45),0)</f>
        <v>27797</v>
      </c>
      <c r="U47" s="3313"/>
      <c r="V47" s="3313">
        <f>ROUND(PRODUCT(V46,AC7:AC45),0)</f>
        <v>24182</v>
      </c>
      <c r="W47" s="3313"/>
      <c r="X47" s="759"/>
      <c r="Y47" s="759"/>
      <c r="Z47" s="759"/>
      <c r="AA47" s="759"/>
      <c r="AB47" s="759"/>
      <c r="AC47" s="759"/>
    </row>
    <row r="48" spans="1:29" ht="15.75" thickBot="1">
      <c r="A48" s="492" t="s">
        <v>2751</v>
      </c>
      <c r="B48" s="493"/>
      <c r="C48" s="494">
        <f>R48</f>
        <v>26793</v>
      </c>
      <c r="D48" s="494"/>
      <c r="E48" s="494"/>
      <c r="F48" s="494"/>
      <c r="G48" s="494"/>
      <c r="H48" s="494"/>
      <c r="I48" s="494"/>
      <c r="J48" s="494"/>
      <c r="K48" s="785"/>
      <c r="L48" s="1143"/>
      <c r="M48" s="1144"/>
      <c r="N48" s="1144"/>
      <c r="O48" s="1144"/>
      <c r="P48" s="3314" t="str">
        <f>A48</f>
        <v>估价对象XX用房的比较价值（楼面单价，元/平方米）</v>
      </c>
      <c r="Q48" s="3315"/>
      <c r="R48" s="3316">
        <f>ROUND(AVERAGE(R47:V47),0)</f>
        <v>26793</v>
      </c>
      <c r="S48" s="3316"/>
      <c r="T48" s="3316"/>
      <c r="U48" s="3316"/>
      <c r="V48" s="3316"/>
      <c r="W48" s="3316"/>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2666</v>
      </c>
      <c r="D51" s="498"/>
      <c r="E51" s="499">
        <f>IF(E46&lt;E47,E47/E46-1,E46/E47-1)</f>
        <v>4.3849009446098375E-2</v>
      </c>
      <c r="F51" s="500" t="str">
        <f>IF(OR(E51&gt;=0.3,E51&lt;=-0.3),"超过30%","")</f>
        <v/>
      </c>
      <c r="G51" s="499">
        <f>IF(G46&lt;G47,G47/G46-1,G46/G47-1)</f>
        <v>5.4394416416948088E-2</v>
      </c>
      <c r="H51" s="500" t="str">
        <f>IF(OR(G51&gt;=0.3,G51&lt;=-0.3),"超过30%","")</f>
        <v/>
      </c>
      <c r="I51" s="499">
        <f>IF(I46&lt;I47,I47/I46-1,I46/I47-1)</f>
        <v>6.2898334139158685E-2</v>
      </c>
      <c r="J51" s="500" t="str">
        <f>IF(OR(I51&gt;=0.3,I51&lt;=-0.3),"超过30%","")</f>
        <v/>
      </c>
      <c r="K51" s="1105"/>
      <c r="L51" s="1106"/>
      <c r="M51" s="1144"/>
      <c r="N51" s="1144"/>
      <c r="O51" s="1144"/>
    </row>
    <row r="52" spans="1:15" ht="13.5" customHeight="1">
      <c r="A52" s="1144"/>
      <c r="B52" s="1144"/>
      <c r="C52" s="497" t="s">
        <v>2667</v>
      </c>
      <c r="D52" s="501"/>
      <c r="E52" s="499">
        <f>IF(E47&lt;G47,G47/E47-1,E47/G47-1)</f>
        <v>2.1692988451991191E-2</v>
      </c>
      <c r="F52" s="500" t="str">
        <f>IF(OR(E52&gt;=0.2,E52&lt;=-0.2),"超过20%","")</f>
        <v/>
      </c>
      <c r="G52" s="499">
        <f>IF(G47&lt;I47,I47/G47-1,G47/I47-1)</f>
        <v>0.14949135720784046</v>
      </c>
      <c r="H52" s="500" t="str">
        <f>IF(OR(G52&gt;=0.2,G52&lt;=-0.2),"超过20%","")</f>
        <v/>
      </c>
      <c r="I52" s="499">
        <f>IF(I47&lt;E47,E47/I47-1,I47/E47-1)</f>
        <v>0.17442725994541397</v>
      </c>
      <c r="J52" s="500" t="str">
        <f>IF(OR(I52&gt;=0.2,I52&lt;=-0.2),"超过20%","")</f>
        <v/>
      </c>
      <c r="K52" s="1105"/>
      <c r="L52" s="1106"/>
      <c r="M52" s="1144"/>
      <c r="N52" s="1144"/>
      <c r="O52" s="1144"/>
    </row>
    <row r="53" spans="1:15" s="502" customFormat="1" ht="13.5" customHeight="1">
      <c r="A53" s="1145"/>
      <c r="B53" s="1145"/>
      <c r="C53" s="497" t="s">
        <v>2668</v>
      </c>
      <c r="D53" s="501"/>
      <c r="E53" s="499">
        <f>IF(E46&lt;G46,G46/E46-1,E46/G46-1)</f>
        <v>3.2014565868831335E-2</v>
      </c>
      <c r="F53" s="500" t="str">
        <f>IF(OR(E53&gt;=0.3,E53&lt;=-0.3),"超过30%","")</f>
        <v/>
      </c>
      <c r="G53" s="499">
        <f>IF(G46&lt;I46,I46/G46-1,G46/I46-1)</f>
        <v>0.15876225220869422</v>
      </c>
      <c r="H53" s="500" t="str">
        <f>IF(OR(G53&gt;=0.3,G53&lt;=-0.3),"超过30%","")</f>
        <v/>
      </c>
      <c r="I53" s="499">
        <f>IF(I46&lt;E46,E46/I46-1,I46/E46-1)</f>
        <v>0.19585952265834461</v>
      </c>
      <c r="J53" s="500" t="str">
        <f>IF(OR(I53&gt;=0.3,I53&lt;=-0.3),"超过30%","")</f>
        <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2752</v>
      </c>
      <c r="B55" s="685" t="s">
        <v>2753</v>
      </c>
      <c r="C55" s="2701" t="s">
        <v>2754</v>
      </c>
      <c r="D55" s="2702" t="s">
        <v>2755</v>
      </c>
      <c r="E55" s="686" t="s">
        <v>2756</v>
      </c>
      <c r="F55" s="1107" t="s">
        <v>2757</v>
      </c>
      <c r="G55" s="3317" t="s">
        <v>2758</v>
      </c>
      <c r="H55" s="3318"/>
      <c r="I55" s="144" t="s">
        <v>2759</v>
      </c>
      <c r="J55" s="2703">
        <f>项目基本情况!F35</f>
        <v>0</v>
      </c>
      <c r="K55" s="2704" t="s">
        <v>2760</v>
      </c>
      <c r="L55" s="1106"/>
      <c r="M55" s="1144"/>
      <c r="N55" s="1144"/>
      <c r="O55" s="1144"/>
    </row>
    <row r="56" spans="1:15" s="692" customFormat="1">
      <c r="A56" s="688" t="s">
        <v>2761</v>
      </c>
      <c r="B56" s="689">
        <f>C48</f>
        <v>26793</v>
      </c>
      <c r="C56" s="690">
        <v>1</v>
      </c>
      <c r="D56" s="1163">
        <v>1</v>
      </c>
      <c r="E56" s="690">
        <f>'数据-汇总表'!E8+'数据-汇总表'!E9</f>
        <v>51317.149999999921</v>
      </c>
      <c r="F56" s="1103">
        <f t="shared" ref="F56:F65" si="15">ROUND(B56*E56/10000,0)</f>
        <v>137494</v>
      </c>
      <c r="G56" s="3319"/>
      <c r="H56" s="3320"/>
      <c r="I56" s="1108">
        <v>1</v>
      </c>
      <c r="J56" s="1111">
        <v>1</v>
      </c>
      <c r="K56" s="1145"/>
      <c r="L56" s="941"/>
      <c r="M56" s="941"/>
      <c r="N56" s="941"/>
      <c r="O56" s="941"/>
    </row>
    <row r="57" spans="1:15" s="692" customFormat="1">
      <c r="A57" s="693" t="s">
        <v>2762</v>
      </c>
      <c r="B57" s="262">
        <f>ROUND($C$48*C57*D57,0)</f>
        <v>4689</v>
      </c>
      <c r="C57" s="200">
        <f t="shared" ref="C57:C65" si="16">IF($C$55="北京市系数",I57,J57)</f>
        <v>0.7</v>
      </c>
      <c r="D57" s="1164">
        <v>0.25</v>
      </c>
      <c r="E57" s="694"/>
      <c r="F57" s="1103">
        <f t="shared" si="15"/>
        <v>0</v>
      </c>
      <c r="G57" s="3321" t="s">
        <v>2763</v>
      </c>
      <c r="H57" s="1104" t="str">
        <f>项目基本情况!B37</f>
        <v>七级</v>
      </c>
      <c r="I57" s="1108">
        <f>SUMIF(修正!A45:A56,H57,修正!B45:B56)</f>
        <v>0.7</v>
      </c>
      <c r="J57" s="1112"/>
      <c r="K57" s="1144"/>
      <c r="L57" s="941"/>
      <c r="M57" s="941"/>
      <c r="N57" s="941"/>
      <c r="O57" s="941"/>
    </row>
    <row r="58" spans="1:15" s="692" customFormat="1">
      <c r="A58" s="693" t="s">
        <v>2764</v>
      </c>
      <c r="B58" s="262">
        <f t="shared" ref="B58:B65" si="17">ROUND($C$48*C58*D58,0)</f>
        <v>2679</v>
      </c>
      <c r="C58" s="200">
        <f t="shared" si="16"/>
        <v>0.4</v>
      </c>
      <c r="D58" s="1164">
        <v>0.25</v>
      </c>
      <c r="E58" s="694"/>
      <c r="F58" s="1103">
        <f t="shared" si="15"/>
        <v>0</v>
      </c>
      <c r="G58" s="3321"/>
      <c r="H58" s="1104" t="str">
        <f>项目基本情况!B37</f>
        <v>七级</v>
      </c>
      <c r="I58" s="1108">
        <f>SUMIF(修正!A45:A56,H58,修正!C45:C56)</f>
        <v>0.4</v>
      </c>
      <c r="J58" s="1112"/>
      <c r="K58" s="1145"/>
      <c r="L58" s="941"/>
      <c r="M58" s="941"/>
      <c r="N58" s="941"/>
      <c r="O58" s="941"/>
    </row>
    <row r="59" spans="1:15" s="692" customFormat="1">
      <c r="A59" s="693" t="s">
        <v>2765</v>
      </c>
      <c r="B59" s="262">
        <f t="shared" si="17"/>
        <v>1876</v>
      </c>
      <c r="C59" s="200">
        <f t="shared" si="16"/>
        <v>0.28000000000000003</v>
      </c>
      <c r="D59" s="1164">
        <v>0.25</v>
      </c>
      <c r="E59" s="694"/>
      <c r="F59" s="1103">
        <f t="shared" si="15"/>
        <v>0</v>
      </c>
      <c r="G59" s="3321"/>
      <c r="H59" s="1104" t="str">
        <f>项目基本情况!B37</f>
        <v>七级</v>
      </c>
      <c r="I59" s="1108">
        <f>SUMIF(修正!A45:A56,H59,修正!D45:D56)</f>
        <v>0.28000000000000003</v>
      </c>
      <c r="J59" s="1112"/>
      <c r="K59" s="1144"/>
      <c r="L59" s="941"/>
      <c r="M59" s="941"/>
      <c r="N59" s="941"/>
      <c r="O59" s="941"/>
    </row>
    <row r="60" spans="1:15" s="692" customFormat="1">
      <c r="A60" s="693" t="s">
        <v>2766</v>
      </c>
      <c r="B60" s="262">
        <f t="shared" si="17"/>
        <v>1675</v>
      </c>
      <c r="C60" s="200">
        <f t="shared" si="16"/>
        <v>0.25</v>
      </c>
      <c r="D60" s="1164">
        <v>0.25</v>
      </c>
      <c r="E60" s="694"/>
      <c r="F60" s="1103">
        <f t="shared" si="15"/>
        <v>0</v>
      </c>
      <c r="G60" s="3321"/>
      <c r="H60" s="1104" t="str">
        <f>项目基本情况!B37</f>
        <v>七级</v>
      </c>
      <c r="I60" s="1108">
        <f>SUMIF(修正!A45:A56,H60,修正!E45:E56)</f>
        <v>0.25</v>
      </c>
      <c r="J60" s="1112"/>
      <c r="K60" s="1145"/>
      <c r="L60" s="941"/>
      <c r="M60" s="941"/>
      <c r="N60" s="941"/>
      <c r="O60" s="941"/>
    </row>
    <row r="61" spans="1:15" s="692" customFormat="1">
      <c r="A61" s="693" t="s">
        <v>2767</v>
      </c>
      <c r="B61" s="262">
        <f t="shared" si="17"/>
        <v>1675</v>
      </c>
      <c r="C61" s="200">
        <f t="shared" si="16"/>
        <v>0.25</v>
      </c>
      <c r="D61" s="1164">
        <v>0.25</v>
      </c>
      <c r="E61" s="261">
        <f>'数据-汇总表'!E11</f>
        <v>0</v>
      </c>
      <c r="F61" s="1103">
        <f t="shared" si="15"/>
        <v>0</v>
      </c>
      <c r="G61" s="2705" t="s">
        <v>2768</v>
      </c>
      <c r="H61" s="1104" t="str">
        <f>项目基本情况!C37</f>
        <v>七级</v>
      </c>
      <c r="I61" s="1108">
        <f>SUMIF(修正!A45:A56,H61,修正!F45:F56)</f>
        <v>0.25</v>
      </c>
      <c r="J61" s="1112"/>
      <c r="K61" s="1144"/>
      <c r="L61" s="941"/>
      <c r="M61" s="941"/>
      <c r="N61" s="941"/>
      <c r="O61" s="941"/>
    </row>
    <row r="62" spans="1:15" s="692" customFormat="1">
      <c r="A62" s="693" t="s">
        <v>2769</v>
      </c>
      <c r="B62" s="262">
        <f t="shared" si="17"/>
        <v>1675</v>
      </c>
      <c r="C62" s="200">
        <f t="shared" si="16"/>
        <v>0.25</v>
      </c>
      <c r="D62" s="1164">
        <v>0.25</v>
      </c>
      <c r="E62" s="261">
        <f>'数据-汇总表'!E12</f>
        <v>37199.47</v>
      </c>
      <c r="F62" s="1103">
        <f t="shared" si="15"/>
        <v>6231</v>
      </c>
      <c r="G62" s="1109" t="s">
        <v>2770</v>
      </c>
      <c r="H62" s="1104" t="str">
        <f>IF(G62="商业",项目基本情况!B37,IF(G62="办公",项目基本情况!C37,IF(G62="住宅",项目基本情况!D37,项目基本情况!E37)))</f>
        <v>七级</v>
      </c>
      <c r="I62" s="1108">
        <f>SUMIF(修正!A45:A56,H62,修正!G45:G56)</f>
        <v>0.25</v>
      </c>
      <c r="J62" s="1112"/>
      <c r="K62" s="1145"/>
      <c r="L62" s="941"/>
      <c r="M62" s="941"/>
      <c r="N62" s="941"/>
      <c r="O62" s="941"/>
    </row>
    <row r="63" spans="1:15" s="692" customFormat="1">
      <c r="A63" s="693" t="s">
        <v>2771</v>
      </c>
      <c r="B63" s="262">
        <f t="shared" si="17"/>
        <v>1340</v>
      </c>
      <c r="C63" s="200">
        <f t="shared" si="16"/>
        <v>0.2</v>
      </c>
      <c r="D63" s="1164">
        <v>0.25</v>
      </c>
      <c r="E63" s="261">
        <f>'数据-汇总表'!E13</f>
        <v>25201.510000000002</v>
      </c>
      <c r="F63" s="1103">
        <f t="shared" si="15"/>
        <v>3377</v>
      </c>
      <c r="G63" s="1109" t="s">
        <v>2772</v>
      </c>
      <c r="H63" s="1104" t="str">
        <f>IF(G63="商业",项目基本情况!B37,IF(G63="办公",项目基本情况!C37,IF(G63="住宅",项目基本情况!D37,项目基本情况!E37)))</f>
        <v>七级</v>
      </c>
      <c r="I63" s="1108">
        <f>SUMIF(修正!A45:A56,H63,修正!H45:H56)</f>
        <v>0.2</v>
      </c>
      <c r="J63" s="1112"/>
      <c r="K63" s="1144"/>
      <c r="L63" s="941"/>
      <c r="M63" s="941"/>
      <c r="N63" s="941"/>
      <c r="O63" s="941"/>
    </row>
    <row r="64" spans="1:15" s="692" customFormat="1">
      <c r="A64" s="693" t="s">
        <v>2773</v>
      </c>
      <c r="B64" s="262">
        <f t="shared" si="17"/>
        <v>1340</v>
      </c>
      <c r="C64" s="200">
        <f t="shared" si="16"/>
        <v>0.2</v>
      </c>
      <c r="D64" s="1164">
        <v>0.25</v>
      </c>
      <c r="E64" s="261">
        <f>'数据-汇总表'!E14</f>
        <v>0</v>
      </c>
      <c r="F64" s="1103">
        <f t="shared" si="15"/>
        <v>0</v>
      </c>
      <c r="G64" s="2705" t="s">
        <v>2763</v>
      </c>
      <c r="H64" s="1104" t="str">
        <f>项目基本情况!B37</f>
        <v>七级</v>
      </c>
      <c r="I64" s="1108">
        <f>SUMIF(修正!A45:A56,H64,修正!H45:H56)</f>
        <v>0.2</v>
      </c>
      <c r="J64" s="1112"/>
      <c r="K64" s="1145"/>
      <c r="L64" s="941"/>
      <c r="M64" s="941"/>
      <c r="N64" s="941"/>
      <c r="O64" s="941"/>
    </row>
    <row r="65" spans="1:17" s="692" customFormat="1" ht="15" thickBot="1">
      <c r="A65" s="693" t="s">
        <v>2774</v>
      </c>
      <c r="B65" s="262">
        <f t="shared" si="17"/>
        <v>1340</v>
      </c>
      <c r="C65" s="200">
        <f t="shared" si="16"/>
        <v>0.2</v>
      </c>
      <c r="D65" s="1164">
        <v>0.25</v>
      </c>
      <c r="E65" s="261">
        <f>'数据-汇总表'!E15</f>
        <v>0</v>
      </c>
      <c r="F65" s="1103">
        <f t="shared" si="15"/>
        <v>0</v>
      </c>
      <c r="G65" s="2706" t="s">
        <v>2768</v>
      </c>
      <c r="H65" s="1114" t="str">
        <f>项目基本情况!C37</f>
        <v>七级</v>
      </c>
      <c r="I65" s="1110">
        <f>SUMIF(修正!A45:A56,H65,修正!H45:H56)</f>
        <v>0.2</v>
      </c>
      <c r="J65" s="1113"/>
      <c r="K65" s="1144"/>
      <c r="L65" s="941"/>
      <c r="M65" s="941"/>
      <c r="N65" s="941"/>
      <c r="O65" s="941"/>
    </row>
    <row r="66" spans="1:17" s="692" customFormat="1" ht="13.5" thickBot="1">
      <c r="A66" s="695" t="s">
        <v>2775</v>
      </c>
      <c r="B66" s="696" t="s">
        <v>28</v>
      </c>
      <c r="C66" s="696" t="s">
        <v>29</v>
      </c>
      <c r="D66" s="696" t="s">
        <v>1029</v>
      </c>
      <c r="E66" s="696">
        <f>IF(B46="楼面地价",SUM(E56:E65),'数据-汇总表'!D3)</f>
        <v>113718.12999999992</v>
      </c>
      <c r="F66" s="697">
        <f>IF(B46="楼面地价",SUM(F56:F65),ROUND(C48*E66/10000,0))</f>
        <v>147102</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2018-1-1</v>
      </c>
      <c r="D68" s="761">
        <f>EDATE(C68,-3)</f>
        <v>43009</v>
      </c>
      <c r="E68" s="761">
        <f>EDATE(D68,-3)</f>
        <v>42917</v>
      </c>
      <c r="F68" s="761">
        <f t="shared" ref="F68:O68" si="18">EDATE(E68,-3)</f>
        <v>42826</v>
      </c>
      <c r="G68" s="761">
        <f t="shared" si="18"/>
        <v>42736</v>
      </c>
      <c r="H68" s="761">
        <f t="shared" si="18"/>
        <v>42644</v>
      </c>
      <c r="I68" s="761">
        <f t="shared" si="18"/>
        <v>42552</v>
      </c>
      <c r="J68" s="761">
        <f t="shared" si="18"/>
        <v>42461</v>
      </c>
      <c r="K68" s="761">
        <f t="shared" si="18"/>
        <v>42370</v>
      </c>
      <c r="L68" s="761">
        <f t="shared" si="18"/>
        <v>42278</v>
      </c>
      <c r="M68" s="761">
        <f t="shared" si="18"/>
        <v>42186</v>
      </c>
      <c r="N68" s="761">
        <f t="shared" si="18"/>
        <v>42095</v>
      </c>
      <c r="O68" s="761">
        <f t="shared" si="18"/>
        <v>42005</v>
      </c>
    </row>
    <row r="69" spans="1:17" ht="21.75" thickBot="1">
      <c r="A69" s="763" t="s">
        <v>2669</v>
      </c>
      <c r="B69" s="759"/>
      <c r="C69" s="764"/>
      <c r="D69" s="764"/>
      <c r="E69" s="764"/>
      <c r="F69" s="765"/>
      <c r="G69" s="765"/>
      <c r="H69" s="764"/>
      <c r="I69" s="764"/>
      <c r="J69" s="1159"/>
      <c r="K69" s="1160"/>
      <c r="L69" s="1161"/>
      <c r="M69" s="1159"/>
      <c r="N69" s="1159"/>
      <c r="O69" s="1159"/>
      <c r="P69" s="503"/>
      <c r="Q69" s="504"/>
    </row>
    <row r="70" spans="1:17" s="508" customFormat="1" ht="15">
      <c r="A70" s="2707" t="s">
        <v>2776</v>
      </c>
      <c r="B70" s="1359"/>
      <c r="C70" s="1572" t="str">
        <f>YEAR(C68)&amp;"-"&amp;ROUNDUP(MONTH(C68)/3,0)</f>
        <v>2018-1</v>
      </c>
      <c r="D70" s="1572" t="str">
        <f>YEAR(D68)&amp;"-"&amp;ROUNDUP(MONTH(D68)/3,0)</f>
        <v>2017-4</v>
      </c>
      <c r="E70" s="1572" t="str">
        <f t="shared" ref="E70:O70" si="19">YEAR(E68)&amp;"-"&amp;ROUNDUP(MONTH(E68)/3,0)</f>
        <v>2017-3</v>
      </c>
      <c r="F70" s="1572" t="str">
        <f t="shared" si="19"/>
        <v>2017-2</v>
      </c>
      <c r="G70" s="1572" t="str">
        <f t="shared" si="19"/>
        <v>2017-1</v>
      </c>
      <c r="H70" s="1572" t="str">
        <f t="shared" si="19"/>
        <v>2016-4</v>
      </c>
      <c r="I70" s="1572" t="str">
        <f t="shared" si="19"/>
        <v>2016-3</v>
      </c>
      <c r="J70" s="1572" t="str">
        <f t="shared" si="19"/>
        <v>2016-2</v>
      </c>
      <c r="K70" s="1572" t="str">
        <f t="shared" si="19"/>
        <v>2016-1</v>
      </c>
      <c r="L70" s="1572" t="str">
        <f t="shared" si="19"/>
        <v>2015-4</v>
      </c>
      <c r="M70" s="1572" t="str">
        <f t="shared" si="19"/>
        <v>2015-3</v>
      </c>
      <c r="N70" s="1572" t="str">
        <f t="shared" si="19"/>
        <v>2015-2</v>
      </c>
      <c r="O70" s="1572" t="str">
        <f t="shared" si="19"/>
        <v>2015-1</v>
      </c>
      <c r="P70" s="507"/>
    </row>
    <row r="71" spans="1:17" s="117" customFormat="1" ht="30" customHeight="1">
      <c r="A71" s="2708" t="s">
        <v>2777</v>
      </c>
      <c r="B71" s="332" t="str">
        <f>"北京市平均增长率"&amp;TEXT(SUMIF(基准地价修正!N21:N25,A71,基准地价修正!P21:P25),"0.00%")</f>
        <v>北京市平均增长率2.55%</v>
      </c>
      <c r="C71" s="603">
        <v>100</v>
      </c>
      <c r="D71" s="595">
        <v>99</v>
      </c>
      <c r="E71" s="595">
        <v>98</v>
      </c>
      <c r="F71" s="595">
        <v>97</v>
      </c>
      <c r="G71" s="595">
        <v>96</v>
      </c>
      <c r="H71" s="595">
        <v>95</v>
      </c>
      <c r="I71" s="595">
        <v>94</v>
      </c>
      <c r="J71" s="595">
        <v>93</v>
      </c>
      <c r="K71" s="595">
        <v>92</v>
      </c>
      <c r="L71" s="595">
        <v>91</v>
      </c>
      <c r="M71" s="1567">
        <v>90</v>
      </c>
      <c r="N71" s="595"/>
      <c r="O71" s="1568"/>
      <c r="P71" s="504"/>
    </row>
    <row r="72" spans="1:17" s="117" customFormat="1" ht="15.75" thickBot="1">
      <c r="A72" s="515" t="s">
        <v>2580</v>
      </c>
      <c r="B72" s="516"/>
      <c r="C72" s="517"/>
      <c r="D72" s="518"/>
      <c r="E72" s="518"/>
      <c r="F72" s="518"/>
      <c r="G72" s="518"/>
      <c r="H72" s="518"/>
      <c r="I72" s="518"/>
      <c r="J72" s="518"/>
      <c r="K72" s="518"/>
      <c r="L72" s="518"/>
      <c r="M72" s="519"/>
      <c r="N72" s="518"/>
      <c r="O72" s="1162"/>
      <c r="P72" s="504"/>
      <c r="Q72" s="504"/>
    </row>
    <row r="73" spans="1:17" s="117" customFormat="1" ht="15">
      <c r="A73" s="521" t="s">
        <v>2545</v>
      </c>
      <c r="B73" s="510"/>
      <c r="C73" s="522" t="s">
        <v>2647</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2583</v>
      </c>
      <c r="B75" s="528" t="s">
        <v>2549</v>
      </c>
      <c r="C75" s="2990" t="s">
        <v>3229</v>
      </c>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2552</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2553</v>
      </c>
      <c r="C79" s="547" t="str">
        <f>C80&amp;"（含）"&amp;"-"&amp;D80</f>
        <v>0（含）-1</v>
      </c>
      <c r="D79" s="547" t="str">
        <f t="shared" ref="D79:L79" si="20">D80&amp;"（含）"&amp;"-"&amp;E80</f>
        <v>1（含）-2</v>
      </c>
      <c r="E79" s="547" t="str">
        <f t="shared" si="20"/>
        <v>2（含）-3</v>
      </c>
      <c r="F79" s="547" t="str">
        <f t="shared" si="20"/>
        <v>3（含）-4</v>
      </c>
      <c r="G79" s="547" t="str">
        <f t="shared" si="20"/>
        <v>4（含）-5</v>
      </c>
      <c r="H79" s="547" t="str">
        <f t="shared" si="20"/>
        <v>5（含）-6</v>
      </c>
      <c r="I79" s="547" t="str">
        <f t="shared" si="20"/>
        <v>6（含）-7</v>
      </c>
      <c r="J79" s="547" t="str">
        <f t="shared" si="20"/>
        <v>7（含）-8</v>
      </c>
      <c r="K79" s="547" t="str">
        <f t="shared" si="20"/>
        <v>8（含）-9</v>
      </c>
      <c r="L79" s="547" t="str">
        <f t="shared" si="20"/>
        <v>9（含）-10</v>
      </c>
      <c r="M79" s="448" t="str">
        <f>M80&amp;"（含）"&amp;"-"&amp;P80</f>
        <v>10（含）-</v>
      </c>
      <c r="N79" s="1153"/>
      <c r="O79" s="1153"/>
      <c r="P79" s="45"/>
      <c r="Q79" s="504"/>
    </row>
    <row r="80" spans="1:17" ht="15">
      <c r="A80" s="534"/>
      <c r="B80" s="548"/>
      <c r="C80" s="549">
        <v>0</v>
      </c>
      <c r="D80" s="549">
        <v>1</v>
      </c>
      <c r="E80" s="549">
        <v>2</v>
      </c>
      <c r="F80" s="549">
        <v>3</v>
      </c>
      <c r="G80" s="549">
        <v>4</v>
      </c>
      <c r="H80" s="549">
        <v>5</v>
      </c>
      <c r="I80" s="549">
        <v>6</v>
      </c>
      <c r="J80" s="549">
        <v>7</v>
      </c>
      <c r="K80" s="550">
        <v>8</v>
      </c>
      <c r="L80" s="550">
        <v>9</v>
      </c>
      <c r="M80" s="552">
        <v>10</v>
      </c>
      <c r="N80" s="1152"/>
      <c r="O80" s="1152"/>
      <c r="P80" s="45"/>
      <c r="Q80" s="504"/>
    </row>
    <row r="81" spans="1:17" ht="15.75" thickBot="1">
      <c r="A81" s="534"/>
      <c r="B81" s="535"/>
      <c r="C81" s="544">
        <v>100</v>
      </c>
      <c r="D81" s="544">
        <f t="shared" ref="D81:M81" si="21">IF($B$46="单位面积地价",C81+$K11,C81-$K11)</f>
        <v>99</v>
      </c>
      <c r="E81" s="544">
        <f t="shared" si="21"/>
        <v>98</v>
      </c>
      <c r="F81" s="544">
        <f t="shared" si="21"/>
        <v>97</v>
      </c>
      <c r="G81" s="544">
        <f t="shared" si="21"/>
        <v>96</v>
      </c>
      <c r="H81" s="544">
        <f t="shared" si="21"/>
        <v>95</v>
      </c>
      <c r="I81" s="544">
        <f t="shared" si="21"/>
        <v>94</v>
      </c>
      <c r="J81" s="544">
        <f t="shared" si="21"/>
        <v>93</v>
      </c>
      <c r="K81" s="544">
        <f t="shared" si="21"/>
        <v>92</v>
      </c>
      <c r="L81" s="544">
        <f t="shared" si="21"/>
        <v>91</v>
      </c>
      <c r="M81" s="544">
        <f t="shared" si="21"/>
        <v>90</v>
      </c>
      <c r="N81" s="1153"/>
      <c r="O81" s="1153"/>
      <c r="P81" s="45"/>
      <c r="Q81" s="504"/>
    </row>
    <row r="82" spans="1:17" s="471" customFormat="1" ht="27.75" thickTop="1">
      <c r="A82" s="553"/>
      <c r="B82" s="538">
        <f>B12</f>
        <v>0</v>
      </c>
      <c r="C82" s="2991" t="s">
        <v>3232</v>
      </c>
      <c r="D82" s="2991" t="s">
        <v>3230</v>
      </c>
      <c r="E82" s="2991" t="s">
        <v>3233</v>
      </c>
      <c r="F82" s="2991" t="s">
        <v>3231</v>
      </c>
      <c r="G82" s="554"/>
      <c r="H82" s="555"/>
      <c r="I82" s="555"/>
      <c r="J82" s="555"/>
      <c r="K82" s="555"/>
      <c r="L82" s="556"/>
      <c r="M82" s="557"/>
      <c r="N82" s="1154"/>
      <c r="O82" s="1154"/>
      <c r="P82" s="558"/>
      <c r="Q82" s="559"/>
    </row>
    <row r="83" spans="1:17" s="471" customFormat="1" ht="15.75" thickBot="1">
      <c r="A83" s="553"/>
      <c r="B83" s="543"/>
      <c r="C83" s="560">
        <v>100</v>
      </c>
      <c r="D83" s="536">
        <v>99</v>
      </c>
      <c r="E83" s="536">
        <v>99</v>
      </c>
      <c r="F83" s="536">
        <v>98</v>
      </c>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2554</v>
      </c>
      <c r="B88" s="528" t="s">
        <v>2591</v>
      </c>
      <c r="C88" s="573" t="s">
        <v>2592</v>
      </c>
      <c r="D88" s="573" t="s">
        <v>2593</v>
      </c>
      <c r="E88" s="573" t="s">
        <v>2594</v>
      </c>
      <c r="F88" s="573" t="s">
        <v>2595</v>
      </c>
      <c r="G88" s="573" t="s">
        <v>2596</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2778</v>
      </c>
      <c r="C90" s="578" t="s">
        <v>2592</v>
      </c>
      <c r="D90" s="578" t="s">
        <v>2593</v>
      </c>
      <c r="E90" s="578" t="s">
        <v>2594</v>
      </c>
      <c r="F90" s="578" t="s">
        <v>2595</v>
      </c>
      <c r="G90" s="578" t="s">
        <v>2596</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2692</v>
      </c>
      <c r="C92" s="578" t="s">
        <v>2592</v>
      </c>
      <c r="D92" s="578" t="s">
        <v>2593</v>
      </c>
      <c r="E92" s="578" t="s">
        <v>2594</v>
      </c>
      <c r="F92" s="578" t="s">
        <v>2595</v>
      </c>
      <c r="G92" s="578" t="s">
        <v>2596</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2597</v>
      </c>
      <c r="C94" s="578" t="s">
        <v>2592</v>
      </c>
      <c r="D94" s="578" t="s">
        <v>2593</v>
      </c>
      <c r="E94" s="578" t="s">
        <v>2594</v>
      </c>
      <c r="F94" s="578" t="s">
        <v>2595</v>
      </c>
      <c r="G94" s="578" t="s">
        <v>2596</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2779</v>
      </c>
      <c r="C96" s="578" t="s">
        <v>2592</v>
      </c>
      <c r="D96" s="578" t="s">
        <v>2593</v>
      </c>
      <c r="E96" s="578" t="s">
        <v>2594</v>
      </c>
      <c r="F96" s="578" t="s">
        <v>2595</v>
      </c>
      <c r="G96" s="578" t="s">
        <v>2596</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2780</v>
      </c>
      <c r="C98" s="573" t="s">
        <v>2592</v>
      </c>
      <c r="D98" s="573" t="s">
        <v>2593</v>
      </c>
      <c r="E98" s="573" t="s">
        <v>2594</v>
      </c>
      <c r="F98" s="573" t="s">
        <v>2595</v>
      </c>
      <c r="G98" s="573" t="s">
        <v>2596</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2649</v>
      </c>
      <c r="C100" s="573" t="s">
        <v>2592</v>
      </c>
      <c r="D100" s="573" t="s">
        <v>2593</v>
      </c>
      <c r="E100" s="573" t="s">
        <v>2594</v>
      </c>
      <c r="F100" s="573" t="s">
        <v>2595</v>
      </c>
      <c r="G100" s="573" t="s">
        <v>2596</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2650</v>
      </c>
      <c r="C102" s="660" t="s">
        <v>2670</v>
      </c>
      <c r="D102" s="660" t="s">
        <v>2671</v>
      </c>
      <c r="E102" s="660" t="s">
        <v>2672</v>
      </c>
      <c r="F102" s="660" t="s">
        <v>2673</v>
      </c>
      <c r="G102" s="660" t="s">
        <v>2674</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2781</v>
      </c>
      <c r="D104" s="539" t="s">
        <v>2782</v>
      </c>
      <c r="E104" s="539" t="s">
        <v>2783</v>
      </c>
      <c r="F104" s="539" t="s">
        <v>2784</v>
      </c>
      <c r="G104" s="539"/>
      <c r="H104" s="539"/>
      <c r="I104" s="539"/>
      <c r="J104" s="539"/>
      <c r="K104" s="540"/>
      <c r="L104" s="541"/>
      <c r="M104" s="542"/>
      <c r="N104" s="1152"/>
      <c r="O104" s="1152"/>
      <c r="P104" s="45"/>
      <c r="Q104" s="504"/>
    </row>
    <row r="105" spans="1:17" ht="15.75" thickBot="1">
      <c r="A105" s="534"/>
      <c r="B105" s="543"/>
      <c r="C105" s="544">
        <v>100</v>
      </c>
      <c r="D105" s="544">
        <f>C105-$K31</f>
        <v>99</v>
      </c>
      <c r="E105" s="544">
        <f t="shared" ref="E105:M105" si="22">D105-$K31</f>
        <v>98</v>
      </c>
      <c r="F105" s="544">
        <f t="shared" si="22"/>
        <v>97</v>
      </c>
      <c r="G105" s="544">
        <f t="shared" si="22"/>
        <v>96</v>
      </c>
      <c r="H105" s="544">
        <f t="shared" si="22"/>
        <v>95</v>
      </c>
      <c r="I105" s="544">
        <f t="shared" si="22"/>
        <v>94</v>
      </c>
      <c r="J105" s="544">
        <f t="shared" si="22"/>
        <v>93</v>
      </c>
      <c r="K105" s="544">
        <f t="shared" si="22"/>
        <v>92</v>
      </c>
      <c r="L105" s="544">
        <f t="shared" si="22"/>
        <v>91</v>
      </c>
      <c r="M105" s="544">
        <f t="shared" si="22"/>
        <v>90</v>
      </c>
      <c r="N105" s="1153"/>
      <c r="O105" s="1153"/>
      <c r="P105" s="45"/>
      <c r="Q105" s="504"/>
    </row>
    <row r="106" spans="1:17" ht="27.75" thickTop="1">
      <c r="A106" s="534"/>
      <c r="B106" s="538" t="s">
        <v>2686</v>
      </c>
      <c r="C106" s="2991" t="s">
        <v>3368</v>
      </c>
      <c r="D106" s="2991" t="s">
        <v>3369</v>
      </c>
      <c r="E106" s="2991" t="s">
        <v>3371</v>
      </c>
      <c r="F106" s="2991" t="s">
        <v>3373</v>
      </c>
      <c r="G106" s="2991" t="s">
        <v>3390</v>
      </c>
      <c r="H106" s="583"/>
      <c r="I106" s="583"/>
      <c r="J106" s="583"/>
      <c r="K106" s="584"/>
      <c r="L106" s="585"/>
      <c r="M106" s="586"/>
      <c r="N106" s="1152"/>
      <c r="O106" s="1152"/>
      <c r="P106" s="45"/>
      <c r="Q106" s="504"/>
    </row>
    <row r="107" spans="1:17" ht="15.75" thickBot="1">
      <c r="A107" s="534"/>
      <c r="B107" s="543"/>
      <c r="C107" s="544">
        <v>100</v>
      </c>
      <c r="D107" s="544">
        <f>C107-$K32</f>
        <v>99</v>
      </c>
      <c r="E107" s="544">
        <f t="shared" ref="E107:M107" si="23">D107-$K32</f>
        <v>98</v>
      </c>
      <c r="F107" s="544">
        <f t="shared" si="23"/>
        <v>97</v>
      </c>
      <c r="G107" s="544">
        <f t="shared" si="23"/>
        <v>96</v>
      </c>
      <c r="H107" s="544">
        <f t="shared" si="23"/>
        <v>95</v>
      </c>
      <c r="I107" s="544">
        <f t="shared" si="23"/>
        <v>94</v>
      </c>
      <c r="J107" s="544">
        <f t="shared" si="23"/>
        <v>93</v>
      </c>
      <c r="K107" s="544">
        <f t="shared" si="23"/>
        <v>92</v>
      </c>
      <c r="L107" s="544">
        <f t="shared" si="23"/>
        <v>91</v>
      </c>
      <c r="M107" s="544">
        <f t="shared" si="23"/>
        <v>90</v>
      </c>
      <c r="N107" s="1153"/>
      <c r="O107" s="1153"/>
      <c r="P107" s="45"/>
      <c r="Q107" s="504"/>
    </row>
    <row r="108" spans="1:17" ht="15.75" thickTop="1">
      <c r="A108" s="534"/>
      <c r="B108" s="538" t="s">
        <v>2744</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ht="28.5">
      <c r="A116" s="527" t="s">
        <v>2558</v>
      </c>
      <c r="B116" s="528" t="s">
        <v>2785</v>
      </c>
      <c r="C116" s="529" t="str">
        <f>C117&amp;"(含)"&amp;"-"&amp;D117</f>
        <v>0(含)-50000</v>
      </c>
      <c r="D116" s="529" t="str">
        <f t="shared" ref="D116:M116" si="25">D117&amp;"(含)"&amp;"-"&amp;E117</f>
        <v>50000(含)-100000</v>
      </c>
      <c r="E116" s="529" t="str">
        <f t="shared" si="25"/>
        <v>100000(含)-150000</v>
      </c>
      <c r="F116" s="529" t="str">
        <f t="shared" si="25"/>
        <v>150000(含)-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v>0</v>
      </c>
      <c r="D117" s="595">
        <v>50000</v>
      </c>
      <c r="E117" s="595">
        <v>100000</v>
      </c>
      <c r="F117" s="595">
        <v>150000</v>
      </c>
      <c r="G117" s="595"/>
      <c r="H117" s="595"/>
      <c r="I117" s="595"/>
      <c r="J117" s="596"/>
      <c r="K117" s="596"/>
      <c r="L117" s="597"/>
      <c r="M117" s="598"/>
      <c r="N117" s="1152"/>
      <c r="O117" s="1152"/>
      <c r="P117" s="45"/>
      <c r="Q117" s="504"/>
    </row>
    <row r="118" spans="1:17" ht="15.75" thickBot="1">
      <c r="A118" s="534"/>
      <c r="B118" s="543"/>
      <c r="C118" s="570">
        <v>100</v>
      </c>
      <c r="D118" s="591">
        <v>103</v>
      </c>
      <c r="E118" s="591">
        <v>106</v>
      </c>
      <c r="F118" s="591">
        <v>109</v>
      </c>
      <c r="G118" s="591"/>
      <c r="H118" s="591"/>
      <c r="I118" s="591"/>
      <c r="J118" s="591"/>
      <c r="K118" s="591"/>
      <c r="L118" s="591"/>
      <c r="M118" s="592"/>
      <c r="N118" s="1153"/>
      <c r="O118" s="1153"/>
      <c r="P118" s="45"/>
      <c r="Q118" s="504"/>
    </row>
    <row r="119" spans="1:17" ht="15" thickTop="1">
      <c r="A119" s="599"/>
      <c r="B119" s="538" t="s">
        <v>2786</v>
      </c>
      <c r="C119" s="2994" t="s">
        <v>3239</v>
      </c>
      <c r="D119" s="2994" t="s">
        <v>3240</v>
      </c>
      <c r="E119" s="2994" t="s">
        <v>3241</v>
      </c>
      <c r="F119" s="2994" t="s">
        <v>3242</v>
      </c>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99</v>
      </c>
      <c r="E120" s="544">
        <f t="shared" si="26"/>
        <v>98</v>
      </c>
      <c r="F120" s="544">
        <f t="shared" si="26"/>
        <v>97</v>
      </c>
      <c r="G120" s="544">
        <f t="shared" si="26"/>
        <v>96</v>
      </c>
      <c r="H120" s="544">
        <f t="shared" si="26"/>
        <v>95</v>
      </c>
      <c r="I120" s="544">
        <f t="shared" si="26"/>
        <v>94</v>
      </c>
      <c r="J120" s="544">
        <f t="shared" si="26"/>
        <v>93</v>
      </c>
      <c r="K120" s="544">
        <f t="shared" si="26"/>
        <v>92</v>
      </c>
      <c r="L120" s="544">
        <f t="shared" si="26"/>
        <v>91</v>
      </c>
      <c r="M120" s="545">
        <f t="shared" si="26"/>
        <v>90</v>
      </c>
      <c r="N120" s="1153"/>
      <c r="O120" s="1153"/>
      <c r="P120" s="45"/>
      <c r="Q120" s="504"/>
    </row>
    <row r="121" spans="1:17" ht="15" thickTop="1">
      <c r="A121" s="599"/>
      <c r="B121" s="538" t="s">
        <v>2787</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2788</v>
      </c>
      <c r="C123" s="2991" t="s">
        <v>3234</v>
      </c>
      <c r="D123" s="2991" t="s">
        <v>3235</v>
      </c>
      <c r="E123" s="2991" t="s">
        <v>3236</v>
      </c>
      <c r="F123" s="2991" t="s">
        <v>3237</v>
      </c>
      <c r="G123" s="2991" t="s">
        <v>3238</v>
      </c>
      <c r="H123" s="583"/>
      <c r="I123" s="583"/>
      <c r="J123" s="583"/>
      <c r="K123" s="584"/>
      <c r="L123" s="585"/>
      <c r="M123" s="586"/>
      <c r="N123" s="1154"/>
      <c r="O123" s="1154"/>
      <c r="P123" s="558"/>
      <c r="Q123" s="559"/>
    </row>
    <row r="124" spans="1:17" s="471" customFormat="1" ht="15.75" thickBot="1">
      <c r="A124" s="553"/>
      <c r="B124" s="543"/>
      <c r="C124" s="544">
        <v>100</v>
      </c>
      <c r="D124" s="544">
        <f>C124-$K41</f>
        <v>99.5</v>
      </c>
      <c r="E124" s="544">
        <f t="shared" ref="E124:M124" si="28">D124-$K41</f>
        <v>99</v>
      </c>
      <c r="F124" s="544">
        <f t="shared" si="28"/>
        <v>98.5</v>
      </c>
      <c r="G124" s="544">
        <f t="shared" si="28"/>
        <v>98</v>
      </c>
      <c r="H124" s="544">
        <f t="shared" si="28"/>
        <v>97.5</v>
      </c>
      <c r="I124" s="544">
        <f t="shared" si="28"/>
        <v>97</v>
      </c>
      <c r="J124" s="544">
        <f t="shared" si="28"/>
        <v>96.5</v>
      </c>
      <c r="K124" s="544">
        <f t="shared" si="28"/>
        <v>96</v>
      </c>
      <c r="L124" s="544">
        <f t="shared" si="28"/>
        <v>95.5</v>
      </c>
      <c r="M124" s="545">
        <f t="shared" si="28"/>
        <v>95</v>
      </c>
      <c r="N124" s="1154"/>
      <c r="O124" s="1154"/>
      <c r="P124" s="558"/>
      <c r="Q124" s="559"/>
    </row>
    <row r="125" spans="1:17" ht="15" thickTop="1">
      <c r="A125" s="599"/>
      <c r="B125" s="538" t="s">
        <v>2789</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47" priority="14" stopIfTrue="1" operator="containsText" text="超过">
      <formula>NOT(ISERROR(SEARCH("超过",F51)))</formula>
    </cfRule>
  </conditionalFormatting>
  <conditionalFormatting sqref="J53">
    <cfRule type="containsText" dxfId="146" priority="13" stopIfTrue="1" operator="containsText" text="超过">
      <formula>NOT(ISERROR(SEARCH("超过",J53)))</formula>
    </cfRule>
  </conditionalFormatting>
  <conditionalFormatting sqref="H53">
    <cfRule type="containsText" dxfId="145" priority="12" stopIfTrue="1" operator="containsText" text="超过">
      <formula>NOT(ISERROR(SEARCH("超过",H53)))</formula>
    </cfRule>
  </conditionalFormatting>
  <conditionalFormatting sqref="F53">
    <cfRule type="containsText" dxfId="144" priority="11" stopIfTrue="1" operator="containsText" text="超过">
      <formula>NOT(ISERROR(SEARCH("超过",F53)))</formula>
    </cfRule>
  </conditionalFormatting>
  <conditionalFormatting sqref="F52 H52 J52">
    <cfRule type="containsText" dxfId="143" priority="10" stopIfTrue="1" operator="containsText" text="超过">
      <formula>NOT(ISERROR(SEARCH("超过",F52)))</formula>
    </cfRule>
  </conditionalFormatting>
  <conditionalFormatting sqref="E51">
    <cfRule type="expression" dxfId="142" priority="9" stopIfTrue="1">
      <formula>$F$51="超过30%"</formula>
    </cfRule>
  </conditionalFormatting>
  <conditionalFormatting sqref="G53">
    <cfRule type="expression" dxfId="141" priority="8" stopIfTrue="1">
      <formula>$H$53="超过30%"</formula>
    </cfRule>
  </conditionalFormatting>
  <conditionalFormatting sqref="E52">
    <cfRule type="expression" dxfId="140" priority="7" stopIfTrue="1">
      <formula>$F$52="超过20%"</formula>
    </cfRule>
  </conditionalFormatting>
  <conditionalFormatting sqref="E53">
    <cfRule type="expression" dxfId="139" priority="6" stopIfTrue="1">
      <formula>$F$53="超过30%"</formula>
    </cfRule>
  </conditionalFormatting>
  <conditionalFormatting sqref="G51">
    <cfRule type="expression" dxfId="138" priority="5" stopIfTrue="1">
      <formula>$H$53+$H$51="超过30%"</formula>
    </cfRule>
  </conditionalFormatting>
  <conditionalFormatting sqref="G52">
    <cfRule type="expression" dxfId="137" priority="4" stopIfTrue="1">
      <formula>$H$52="超过20%"</formula>
    </cfRule>
  </conditionalFormatting>
  <conditionalFormatting sqref="I51">
    <cfRule type="expression" dxfId="136" priority="3" stopIfTrue="1">
      <formula>$J$51="超过30%"</formula>
    </cfRule>
  </conditionalFormatting>
  <conditionalFormatting sqref="I52">
    <cfRule type="expression" dxfId="135" priority="2" stopIfTrue="1">
      <formula>$J$52="超过20%"</formula>
    </cfRule>
  </conditionalFormatting>
  <conditionalFormatting sqref="I53">
    <cfRule type="expression" dxfId="13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C19" sqref="C19"/>
    </sheetView>
  </sheetViews>
  <sheetFormatPr defaultColWidth="12" defaultRowHeight="12.75"/>
  <cols>
    <col min="1" max="1" width="9.75" style="2792" customWidth="1"/>
    <col min="2" max="2" width="19.25" style="2898" customWidth="1"/>
    <col min="3" max="4" width="12" style="2716"/>
    <col min="5" max="5" width="14.625" style="2716" customWidth="1"/>
    <col min="6" max="8" width="12" style="2716"/>
    <col min="9" max="9" width="12.25" style="2716" bestFit="1" customWidth="1"/>
    <col min="10" max="10" width="12" style="2716"/>
    <col min="11" max="11" width="8.125" style="2784" customWidth="1"/>
    <col min="12" max="12" width="12" style="2716"/>
    <col min="13" max="13" width="8.5" style="2716" customWidth="1"/>
    <col min="14" max="14" width="9.75" style="2716" customWidth="1"/>
    <col min="15" max="25" width="12" style="2716"/>
    <col min="26" max="26" width="9.375" style="2792" customWidth="1"/>
    <col min="27" max="32" width="9.375" style="1372" customWidth="1"/>
    <col min="33" max="36" width="9.375" style="2792" customWidth="1"/>
    <col min="37" max="38" width="9.375" style="2716" customWidth="1"/>
    <col min="39" max="16384" width="12" style="2716"/>
  </cols>
  <sheetData>
    <row r="1" spans="1:36" ht="28.5">
      <c r="A1" s="240" t="s">
        <v>2798</v>
      </c>
      <c r="B1" s="241"/>
      <c r="C1" s="245" t="s">
        <v>2799</v>
      </c>
      <c r="D1" s="388">
        <f>SUM(D29:D30,D33:D39)</f>
        <v>69283.42999999992</v>
      </c>
      <c r="E1" s="2713"/>
      <c r="F1" s="2713"/>
      <c r="G1" s="2713"/>
      <c r="H1" s="2713"/>
      <c r="I1" s="2713"/>
      <c r="J1" s="2713"/>
      <c r="K1" s="1370"/>
      <c r="L1" s="2714" t="s">
        <v>2800</v>
      </c>
      <c r="M1" s="1080">
        <f>SUMPRODUCT((区片价!B5:B9=I2)*(区片价!C3:F3=E2)*(区片价!C5:F9))</f>
        <v>0</v>
      </c>
      <c r="N1" s="1083">
        <f>SUMPRODUCT((因素修正幅度!B5:B9=I2)*(因素修正幅度!C3:F3=E2)*(因素修正幅度!C5:F9))</f>
        <v>0</v>
      </c>
      <c r="O1" s="2715"/>
      <c r="P1" s="2715"/>
      <c r="Q1" s="1370"/>
      <c r="R1" s="1602" t="s">
        <v>2801</v>
      </c>
      <c r="S1" s="1602" t="s">
        <v>2802</v>
      </c>
      <c r="T1" s="1602" t="s">
        <v>2803</v>
      </c>
      <c r="U1" s="1602" t="s">
        <v>2804</v>
      </c>
      <c r="V1" s="1602" t="s">
        <v>2805</v>
      </c>
      <c r="W1" s="1606"/>
      <c r="X1" s="1606"/>
      <c r="Y1" s="1606"/>
      <c r="Z1" s="1606"/>
      <c r="AA1" s="1606"/>
      <c r="AB1" s="1606"/>
      <c r="AC1" s="1607"/>
      <c r="AD1" s="1608"/>
      <c r="AE1" s="1608"/>
      <c r="AF1" s="1608"/>
      <c r="AG1" s="1608"/>
      <c r="AH1" s="1608"/>
      <c r="AI1" s="1608"/>
      <c r="AJ1" s="1609"/>
    </row>
    <row r="2" spans="1:36" ht="15.75">
      <c r="A2" s="245" t="s">
        <v>2806</v>
      </c>
      <c r="B2" s="248">
        <f ca="1">C26</f>
        <v>74325</v>
      </c>
      <c r="C2" s="2717" t="s">
        <v>2807</v>
      </c>
      <c r="D2" s="2718" t="s">
        <v>2808</v>
      </c>
      <c r="E2" s="2719" t="s">
        <v>3151</v>
      </c>
      <c r="F2" s="2718" t="s">
        <v>2809</v>
      </c>
      <c r="G2" s="2720" t="str">
        <f>IF(E2="商业",项目基本情况!B37,IF(E2="办公",项目基本情况!C37,IF(E2="住宅",项目基本情况!D37,项目基本情况!E37)))</f>
        <v>七级</v>
      </c>
      <c r="H2" s="2718" t="s">
        <v>2810</v>
      </c>
      <c r="I2" s="2720" t="str">
        <f>IF(E2="商业",项目基本情况!B38,IF(E2="办公",项目基本情况!C38,IF(E2="住宅",项目基本情况!D38,项目基本情况!E38)))</f>
        <v>Ⅶ-昌5</v>
      </c>
      <c r="J2" s="2721"/>
      <c r="K2" s="1370"/>
      <c r="L2" s="2722" t="s">
        <v>2811</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1.8629</v>
      </c>
      <c r="T2" s="1602">
        <f ca="1">ROUND($C$5*$C$18*$C$19*$C$20*S2*$C$24,0)</f>
        <v>22135</v>
      </c>
      <c r="U2" s="1603"/>
      <c r="V2" s="1602">
        <f ca="1">ROUND(T2*U2/10000,0)</f>
        <v>0</v>
      </c>
      <c r="W2" s="1606"/>
      <c r="X2" s="1606"/>
      <c r="Y2" s="1606"/>
      <c r="Z2" s="1606"/>
      <c r="AA2" s="1606"/>
      <c r="AB2" s="1606"/>
      <c r="AC2" s="1607"/>
      <c r="AD2" s="1608"/>
      <c r="AE2" s="1608"/>
      <c r="AF2" s="1608"/>
      <c r="AG2" s="1608"/>
      <c r="AH2" s="1608"/>
      <c r="AI2" s="1608"/>
      <c r="AJ2" s="1609"/>
    </row>
    <row r="3" spans="1:36" ht="25.5">
      <c r="A3" s="247" t="s">
        <v>2812</v>
      </c>
      <c r="B3" s="248">
        <f ca="1">ROUND(B2*10000/D1,0)</f>
        <v>10728</v>
      </c>
      <c r="C3" s="2717" t="s">
        <v>2813</v>
      </c>
      <c r="D3" s="2718" t="s">
        <v>2814</v>
      </c>
      <c r="E3" s="2723" t="s">
        <v>3252</v>
      </c>
      <c r="F3" s="2724" t="s">
        <v>2815</v>
      </c>
      <c r="G3" s="913">
        <f>IF(F3="宗地容积率",'数据-汇总表'!I4,IF(F3="估价对象容积率",'数据-汇总表'!I6,'数据-汇总表'!I7))</f>
        <v>1.48</v>
      </c>
      <c r="H3" s="198" t="s">
        <v>2816</v>
      </c>
      <c r="I3" s="944"/>
      <c r="J3" s="2721" t="s">
        <v>2817</v>
      </c>
      <c r="K3" s="1370"/>
      <c r="L3" s="2722" t="s">
        <v>2818</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1.3371999999999999</v>
      </c>
      <c r="T3" s="1602">
        <f t="shared" ref="T3:T16" ca="1" si="0">ROUND($C$5*$C$18*$C$19*$C$20*S3*$C$24,0)</f>
        <v>15888</v>
      </c>
      <c r="U3" s="1603"/>
      <c r="V3" s="1602">
        <f t="shared" ref="V3:V16" ca="1" si="1">ROUND(T3*U3/10000,0)</f>
        <v>0</v>
      </c>
      <c r="W3" s="1606"/>
      <c r="X3" s="1606"/>
      <c r="Y3" s="1606"/>
      <c r="Z3" s="1606"/>
      <c r="AA3" s="1606"/>
      <c r="AB3" s="1606"/>
      <c r="AC3" s="1607"/>
      <c r="AD3" s="1608"/>
      <c r="AE3" s="1608"/>
      <c r="AF3" s="1608"/>
      <c r="AG3" s="1608"/>
      <c r="AH3" s="1608"/>
      <c r="AI3" s="1608"/>
      <c r="AJ3" s="1609"/>
    </row>
    <row r="4" spans="1:36" ht="15.75">
      <c r="A4" s="3359"/>
      <c r="B4" s="3360"/>
      <c r="C4" s="3360"/>
      <c r="D4" s="3361"/>
      <c r="E4" s="3361"/>
      <c r="F4" s="3361"/>
      <c r="G4" s="3361"/>
      <c r="H4" s="3361"/>
      <c r="I4" s="3361"/>
      <c r="J4" s="3362"/>
      <c r="K4" s="1370"/>
      <c r="L4" s="2722" t="s">
        <v>2819</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1.0788</v>
      </c>
      <c r="T4" s="1602">
        <f t="shared" ca="1" si="0"/>
        <v>12818</v>
      </c>
      <c r="U4" s="1603"/>
      <c r="V4" s="1602">
        <f t="shared" ca="1" si="1"/>
        <v>0</v>
      </c>
      <c r="W4" s="1606"/>
      <c r="X4" s="1606"/>
      <c r="Y4" s="1606"/>
      <c r="Z4" s="1606"/>
      <c r="AA4" s="1606"/>
      <c r="AB4" s="1606"/>
      <c r="AC4" s="1607"/>
      <c r="AD4" s="1608"/>
      <c r="AE4" s="1608"/>
      <c r="AF4" s="1608"/>
      <c r="AG4" s="1608"/>
      <c r="AH4" s="1608"/>
      <c r="AI4" s="1608"/>
      <c r="AJ4" s="1609"/>
    </row>
    <row r="5" spans="1:36" s="2734" customFormat="1" ht="15.75" thickBot="1">
      <c r="A5" s="2725" t="s">
        <v>807</v>
      </c>
      <c r="B5" s="2726" t="s">
        <v>2820</v>
      </c>
      <c r="C5" s="914">
        <f>ROUND(IF(E2="商业",IF(F16="增加",C6*C7+C16,C6*C7-C16),IF(E2="住宅",IF(F16="增加",C6*C12+C16,C6*C12-C16),IF(F16="增加",C6+C16,C6-C16))),0)</f>
        <v>7570</v>
      </c>
      <c r="D5" s="1787">
        <f>ROUND(IF(E2="商业",IF(F16="增加",C6+C16,C6-C16)),0)</f>
        <v>0</v>
      </c>
      <c r="E5" s="2727"/>
      <c r="F5" s="2727"/>
      <c r="G5" s="2728"/>
      <c r="H5" s="2728"/>
      <c r="I5" s="2728"/>
      <c r="J5" s="2729"/>
      <c r="K5" s="2730"/>
      <c r="L5" s="2722" t="s">
        <v>2821</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0.86560000000000004</v>
      </c>
      <c r="T5" s="1602">
        <f t="shared" ca="1" si="0"/>
        <v>10285</v>
      </c>
      <c r="U5" s="1603"/>
      <c r="V5" s="1602">
        <f t="shared" ca="1" si="1"/>
        <v>0</v>
      </c>
      <c r="W5" s="1606"/>
      <c r="X5" s="1606"/>
      <c r="Y5" s="1606"/>
      <c r="Z5" s="1606"/>
      <c r="AA5" s="1606"/>
      <c r="AB5" s="1606"/>
      <c r="AC5" s="2731"/>
      <c r="AD5" s="2732"/>
      <c r="AE5" s="2732"/>
      <c r="AF5" s="2732"/>
      <c r="AG5" s="2732"/>
      <c r="AH5" s="2732"/>
      <c r="AI5" s="2732"/>
      <c r="AJ5" s="2733"/>
    </row>
    <row r="6" spans="1:36" ht="15.75" thickBot="1">
      <c r="A6" s="2735" t="s">
        <v>2822</v>
      </c>
      <c r="B6" s="2736" t="s">
        <v>2823</v>
      </c>
      <c r="C6" s="915">
        <f>SUMIF(L1:L12,G2,M1:M12)</f>
        <v>7570</v>
      </c>
      <c r="D6" s="2737" t="s">
        <v>2824</v>
      </c>
      <c r="E6" s="2738"/>
      <c r="F6" s="2738"/>
      <c r="G6" s="2739"/>
      <c r="H6" s="2739"/>
      <c r="I6" s="2739"/>
      <c r="J6" s="2740"/>
      <c r="K6" s="1842"/>
      <c r="L6" s="2722" t="s">
        <v>2825</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0.73709999999999998</v>
      </c>
      <c r="T6" s="1602">
        <f t="shared" ca="1" si="0"/>
        <v>8758</v>
      </c>
      <c r="U6" s="1603"/>
      <c r="V6" s="1602">
        <f t="shared" ca="1" si="1"/>
        <v>0</v>
      </c>
      <c r="W6" s="1606"/>
      <c r="X6" s="1606"/>
      <c r="Y6" s="1606"/>
      <c r="Z6" s="1606"/>
      <c r="AA6" s="1606"/>
      <c r="AB6" s="1606"/>
      <c r="AC6" s="2731"/>
      <c r="AD6" s="2732"/>
      <c r="AE6" s="2732"/>
      <c r="AF6" s="2732"/>
      <c r="AG6" s="2732"/>
      <c r="AH6" s="2732"/>
      <c r="AI6" s="2732"/>
      <c r="AJ6" s="2733"/>
    </row>
    <row r="7" spans="1:36" ht="24">
      <c r="A7" s="3363" t="str">
        <f>IF(E2="商业",IF(C8="不临58条商业街","",2),"")</f>
        <v/>
      </c>
      <c r="B7" s="2741" t="s">
        <v>2826</v>
      </c>
      <c r="C7" s="916" t="e">
        <f>IF(C8="不临58条商业街",1,ROUND(1+(1.6*E8+1.2*E9+0.8*E10+0.4*E11)*C9,4))</f>
        <v>#DIV/0!</v>
      </c>
      <c r="D7" s="2742" t="s">
        <v>2827</v>
      </c>
      <c r="E7" s="945"/>
      <c r="F7" s="2743"/>
      <c r="G7" s="2744"/>
      <c r="H7" s="2744"/>
      <c r="I7" s="2744"/>
      <c r="J7" s="2745"/>
      <c r="K7" s="1842"/>
      <c r="L7" s="2722" t="s">
        <v>2828</v>
      </c>
      <c r="M7" s="1081">
        <f>SUMPRODUCT((区片价!B158:B205=I2)*(区片价!C3:F3=E2)*(区片价!C158:F205))</f>
        <v>7570</v>
      </c>
      <c r="N7" s="1083">
        <f>SUMPRODUCT((因素修正幅度!B158:B205=I2)*(因素修正幅度!C3:F3=E2)*(因素修正幅度!C158:F205))</f>
        <v>0.127</v>
      </c>
      <c r="O7" s="1370"/>
      <c r="P7" s="1370"/>
      <c r="Q7" s="1370"/>
      <c r="R7" s="1602">
        <v>6</v>
      </c>
      <c r="S7" s="1602">
        <f>ROUND(IF(G3&gt;1,IF(R7&lt;7,SUMPRODUCT((B93:B98=R7)*(C92:N92=G2)*(C93:N98)),SUMIF(C92:N92,G2,C100:N100)),IF(R7&lt;7,SUMPRODUCT((B102:B107=R7)*(C92:N92=G2)*(C102:N107)),SUMIF(C92:N92,G2,C109:N109))),4)</f>
        <v>0.6482</v>
      </c>
      <c r="T7" s="1602">
        <f t="shared" ca="1" si="0"/>
        <v>7702</v>
      </c>
      <c r="U7" s="1603"/>
      <c r="V7" s="1602">
        <f t="shared" ca="1" si="1"/>
        <v>0</v>
      </c>
      <c r="W7" s="1816" t="s">
        <v>2829</v>
      </c>
      <c r="X7" s="1604" t="str">
        <f>G2</f>
        <v>七级</v>
      </c>
      <c r="Y7" s="1604" t="s">
        <v>2830</v>
      </c>
      <c r="Z7" s="1605">
        <f>G3</f>
        <v>1.48</v>
      </c>
      <c r="AA7" s="1606"/>
      <c r="AB7" s="1606"/>
      <c r="AC7" s="1607"/>
      <c r="AD7" s="1608"/>
      <c r="AE7" s="1608"/>
      <c r="AF7" s="1608"/>
      <c r="AG7" s="1608"/>
      <c r="AH7" s="1608"/>
      <c r="AI7" s="1608"/>
      <c r="AJ7" s="1609"/>
    </row>
    <row r="8" spans="1:36" ht="15">
      <c r="A8" s="3364"/>
      <c r="B8" s="198" t="s">
        <v>2831</v>
      </c>
      <c r="C8" s="2746"/>
      <c r="D8" s="917" t="s">
        <v>139</v>
      </c>
      <c r="E8" s="918" t="e">
        <f>ROUND(C11/E7,4)</f>
        <v>#DIV/0!</v>
      </c>
      <c r="F8" s="2747" t="s">
        <v>2832</v>
      </c>
      <c r="G8" s="2748"/>
      <c r="H8" s="2748"/>
      <c r="I8" s="2748"/>
      <c r="J8" s="2749"/>
      <c r="K8" s="1370"/>
      <c r="L8" s="2722" t="s">
        <v>2833</v>
      </c>
      <c r="M8" s="1081">
        <f>SUMPRODUCT((区片价!B206:B244=I2)*(区片价!C3:F3=E2)*(区片价!C206:F244))</f>
        <v>0</v>
      </c>
      <c r="N8" s="1083">
        <f>SUMPRODUCT((因素修正幅度!B206:B244=I2)*(因素修正幅度!C3:F3=E2)*(因素修正幅度!C206:F244))</f>
        <v>0</v>
      </c>
      <c r="O8" s="1370"/>
      <c r="P8" s="1370"/>
      <c r="Q8" s="1370"/>
      <c r="R8" s="1602">
        <v>7</v>
      </c>
      <c r="S8" s="1603"/>
      <c r="T8" s="1602">
        <f t="shared" ca="1" si="0"/>
        <v>0</v>
      </c>
      <c r="U8" s="1603"/>
      <c r="V8" s="1602">
        <f t="shared" ca="1" si="1"/>
        <v>0</v>
      </c>
      <c r="W8" s="3356" t="s">
        <v>2834</v>
      </c>
      <c r="X8" s="3357"/>
      <c r="Y8" s="1610" t="s">
        <v>2835</v>
      </c>
      <c r="Z8" s="1610" t="s">
        <v>2836</v>
      </c>
      <c r="AA8" s="1610" t="s">
        <v>2837</v>
      </c>
      <c r="AB8" s="1610" t="s">
        <v>2838</v>
      </c>
      <c r="AC8" s="1610" t="s">
        <v>2839</v>
      </c>
      <c r="AD8" s="1610" t="s">
        <v>2840</v>
      </c>
      <c r="AE8" s="1610" t="s">
        <v>2841</v>
      </c>
      <c r="AF8" s="1610" t="s">
        <v>2842</v>
      </c>
      <c r="AG8" s="1610" t="s">
        <v>2843</v>
      </c>
      <c r="AH8" s="1610" t="s">
        <v>2844</v>
      </c>
      <c r="AI8" s="1610" t="s">
        <v>2845</v>
      </c>
      <c r="AJ8" s="1610" t="s">
        <v>2846</v>
      </c>
    </row>
    <row r="9" spans="1:36" ht="15">
      <c r="A9" s="3364"/>
      <c r="B9" s="198" t="s">
        <v>2847</v>
      </c>
      <c r="C9" s="919">
        <f>SUMIF(修正!C59:C119,C8,修正!E59:E119)</f>
        <v>0</v>
      </c>
      <c r="D9" s="200" t="s">
        <v>140</v>
      </c>
      <c r="E9" s="200" t="e">
        <f>ROUND(C11/E7,4)</f>
        <v>#DIV/0!</v>
      </c>
      <c r="F9" s="2747" t="s">
        <v>2848</v>
      </c>
      <c r="G9" s="2748"/>
      <c r="H9" s="2748"/>
      <c r="I9" s="2748"/>
      <c r="J9" s="2749"/>
      <c r="K9" s="1370"/>
      <c r="L9" s="2722" t="s">
        <v>2849</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358" t="s">
        <v>2850</v>
      </c>
      <c r="X9" s="1611" t="s">
        <v>2851</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364"/>
      <c r="B10" s="198" t="s">
        <v>2852</v>
      </c>
      <c r="C10" s="200">
        <f>SUMIF(修正!C59:C119,C8,修正!F59:F119)</f>
        <v>0</v>
      </c>
      <c r="D10" s="200" t="s">
        <v>141</v>
      </c>
      <c r="E10" s="200" t="e">
        <f>ROUND(C11/E7,4)</f>
        <v>#DIV/0!</v>
      </c>
      <c r="F10" s="2747" t="s">
        <v>2853</v>
      </c>
      <c r="G10" s="2748"/>
      <c r="H10" s="2748"/>
      <c r="I10" s="2748"/>
      <c r="J10" s="2749"/>
      <c r="K10" s="1370"/>
      <c r="L10" s="2722" t="s">
        <v>2854</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f t="shared" ca="1" si="0"/>
        <v>0</v>
      </c>
      <c r="U10" s="1603"/>
      <c r="V10" s="1602">
        <f t="shared" ca="1" si="1"/>
        <v>0</v>
      </c>
      <c r="W10" s="3358"/>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364"/>
      <c r="B11" s="2750" t="s">
        <v>2855</v>
      </c>
      <c r="C11" s="920">
        <f>C10/4</f>
        <v>0</v>
      </c>
      <c r="D11" s="920" t="s">
        <v>142</v>
      </c>
      <c r="E11" s="920" t="e">
        <f>ROUND(C11/E7,4)</f>
        <v>#DIV/0!</v>
      </c>
      <c r="F11" s="2751" t="s">
        <v>2856</v>
      </c>
      <c r="G11" s="2752"/>
      <c r="H11" s="2752"/>
      <c r="I11" s="2752"/>
      <c r="J11" s="2753"/>
      <c r="K11" s="1370"/>
      <c r="L11" s="2722" t="s">
        <v>2857</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358" t="s">
        <v>2858</v>
      </c>
      <c r="X11" s="1614" t="s">
        <v>2859</v>
      </c>
      <c r="Y11" s="1615">
        <f>$G$3</f>
        <v>1.48</v>
      </c>
      <c r="Z11" s="1615">
        <f t="shared" ref="Z11:AJ11" si="3">$G$3</f>
        <v>1.48</v>
      </c>
      <c r="AA11" s="1615">
        <f t="shared" si="3"/>
        <v>1.48</v>
      </c>
      <c r="AB11" s="1615">
        <f t="shared" si="3"/>
        <v>1.48</v>
      </c>
      <c r="AC11" s="1615">
        <f t="shared" si="3"/>
        <v>1.48</v>
      </c>
      <c r="AD11" s="1615">
        <f t="shared" si="3"/>
        <v>1.48</v>
      </c>
      <c r="AE11" s="1615">
        <f t="shared" si="3"/>
        <v>1.48</v>
      </c>
      <c r="AF11" s="1615">
        <f t="shared" si="3"/>
        <v>1.48</v>
      </c>
      <c r="AG11" s="1615">
        <f t="shared" si="3"/>
        <v>1.48</v>
      </c>
      <c r="AH11" s="1615">
        <f t="shared" si="3"/>
        <v>1.48</v>
      </c>
      <c r="AI11" s="1615">
        <f t="shared" si="3"/>
        <v>1.48</v>
      </c>
      <c r="AJ11" s="1615">
        <f t="shared" si="3"/>
        <v>1.48</v>
      </c>
    </row>
    <row r="12" spans="1:36" ht="25.5" thickBot="1">
      <c r="A12" s="3363" t="s">
        <v>2860</v>
      </c>
      <c r="B12" s="2754" t="s">
        <v>2861</v>
      </c>
      <c r="C12" s="916">
        <f>ROUND(C15*D15*E15*F15*G15*H15*I15*J15,4)</f>
        <v>1</v>
      </c>
      <c r="D12" s="2755" t="s">
        <v>2862</v>
      </c>
      <c r="E12" s="2756"/>
      <c r="F12" s="2756"/>
      <c r="G12" s="2757"/>
      <c r="H12" s="2757"/>
      <c r="I12" s="2757"/>
      <c r="J12" s="2758"/>
      <c r="K12" s="1370"/>
      <c r="L12" s="2759" t="s">
        <v>2863</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358"/>
      <c r="X12" s="1616" t="s">
        <v>2864</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365"/>
      <c r="B13" s="2760" t="s">
        <v>2865</v>
      </c>
      <c r="C13" s="2761" t="s">
        <v>2866</v>
      </c>
      <c r="D13" s="1808" t="s">
        <v>2867</v>
      </c>
      <c r="E13" s="1808" t="s">
        <v>2868</v>
      </c>
      <c r="F13" s="30" t="s">
        <v>2869</v>
      </c>
      <c r="G13" s="2762" t="s">
        <v>2870</v>
      </c>
      <c r="H13" s="2762" t="s">
        <v>2870</v>
      </c>
      <c r="I13" s="2762" t="s">
        <v>2870</v>
      </c>
      <c r="J13" s="2763" t="s">
        <v>2870</v>
      </c>
      <c r="K13" s="1370"/>
      <c r="L13" s="1370"/>
      <c r="M13" s="1370"/>
      <c r="N13" s="1370"/>
      <c r="O13" s="1370"/>
      <c r="P13" s="1370"/>
      <c r="Q13" s="1370"/>
      <c r="R13" s="1602">
        <v>12</v>
      </c>
      <c r="S13" s="1603"/>
      <c r="T13" s="1602">
        <f t="shared" ca="1" si="0"/>
        <v>0</v>
      </c>
      <c r="U13" s="1603"/>
      <c r="V13" s="1602">
        <f t="shared" ca="1" si="1"/>
        <v>0</v>
      </c>
      <c r="W13" s="3358"/>
      <c r="X13" s="1616"/>
      <c r="Y13" s="1613">
        <f>(-0.163*(Y12^2)-0.59*Y12+7617)*(10^(-4))/Y11</f>
        <v>0.51466216216216221</v>
      </c>
      <c r="Z13" s="1613">
        <f t="shared" ref="Z13:AJ13" si="5">(-0.163*(Z12^2)-0.59*Z12+7617)*(10^(-4))/Z11</f>
        <v>0.51466216216216221</v>
      </c>
      <c r="AA13" s="1613">
        <f t="shared" si="5"/>
        <v>0.51466216216216221</v>
      </c>
      <c r="AB13" s="1613">
        <f t="shared" si="5"/>
        <v>0.51466216216216221</v>
      </c>
      <c r="AC13" s="1613">
        <f t="shared" si="5"/>
        <v>0.51466216216216221</v>
      </c>
      <c r="AD13" s="1613">
        <f t="shared" si="5"/>
        <v>0.51466216216216221</v>
      </c>
      <c r="AE13" s="1613">
        <f t="shared" si="5"/>
        <v>0.51466216216216221</v>
      </c>
      <c r="AF13" s="1613">
        <f t="shared" si="5"/>
        <v>0.51466216216216221</v>
      </c>
      <c r="AG13" s="1613">
        <f t="shared" si="5"/>
        <v>0.51466216216216221</v>
      </c>
      <c r="AH13" s="1613">
        <f t="shared" si="5"/>
        <v>0.51466216216216221</v>
      </c>
      <c r="AI13" s="1613">
        <f t="shared" si="5"/>
        <v>0.51466216216216221</v>
      </c>
      <c r="AJ13" s="1613">
        <f t="shared" si="5"/>
        <v>0.51466216216216221</v>
      </c>
    </row>
    <row r="14" spans="1:36" ht="15">
      <c r="A14" s="3365"/>
      <c r="B14" s="2764"/>
      <c r="C14" s="2765"/>
      <c r="D14" s="2766"/>
      <c r="E14" s="2766"/>
      <c r="F14" s="2767"/>
      <c r="G14" s="2768" t="s">
        <v>2871</v>
      </c>
      <c r="H14" s="2769"/>
      <c r="I14" s="2770"/>
      <c r="J14" s="2771"/>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thickBot="1">
      <c r="A15" s="3366"/>
      <c r="B15" s="2772" t="s">
        <v>2872</v>
      </c>
      <c r="C15" s="229">
        <f>IF(C14="有",1.1,1)</f>
        <v>1</v>
      </c>
      <c r="D15" s="229">
        <f>IF(D14="有",1.1,1)</f>
        <v>1</v>
      </c>
      <c r="E15" s="229">
        <f>IF(E14="有",1.1,1)</f>
        <v>1</v>
      </c>
      <c r="F15" s="229">
        <f>IF(F14="500米范围内",1.2,IF(F14="500-1000米",1.1,1))</f>
        <v>1</v>
      </c>
      <c r="G15" s="946">
        <v>1</v>
      </c>
      <c r="H15" s="946">
        <v>1</v>
      </c>
      <c r="I15" s="946">
        <v>1</v>
      </c>
      <c r="J15" s="947">
        <v>1</v>
      </c>
      <c r="K15" s="1370"/>
      <c r="L15" s="2773" t="s">
        <v>2808</v>
      </c>
      <c r="M15" s="917" t="s">
        <v>2873</v>
      </c>
      <c r="N15" s="917" t="s">
        <v>2874</v>
      </c>
      <c r="O15" s="917" t="s">
        <v>2875</v>
      </c>
      <c r="P15" s="2774" t="s">
        <v>2876</v>
      </c>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
      <c r="A16" s="3363" t="s">
        <v>2877</v>
      </c>
      <c r="B16" s="2741" t="s">
        <v>2878</v>
      </c>
      <c r="C16" s="1801">
        <f>ROUND(SUM(G17:J17)/C17,0)</f>
        <v>0</v>
      </c>
      <c r="D16" s="2775" t="s">
        <v>2879</v>
      </c>
      <c r="E16" s="2776"/>
      <c r="F16" s="2777"/>
      <c r="G16" s="2778"/>
      <c r="H16" s="2778"/>
      <c r="I16" s="2778"/>
      <c r="J16" s="2779"/>
      <c r="K16" s="1370"/>
      <c r="L16" s="2780" t="s">
        <v>2880</v>
      </c>
      <c r="M16" s="919">
        <v>0.25</v>
      </c>
      <c r="N16" s="919">
        <v>0.2</v>
      </c>
      <c r="O16" s="919">
        <v>0.15</v>
      </c>
      <c r="P16" s="1369">
        <v>0.1</v>
      </c>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13.5" thickBot="1">
      <c r="A17" s="3364"/>
      <c r="B17" s="2781" t="s">
        <v>2881</v>
      </c>
      <c r="C17" s="921">
        <f>SUMPRODUCT((修正!A2:A5=E2)*(修正!B1:M1=G2)*(修正!B2:M5))</f>
        <v>2.5</v>
      </c>
      <c r="D17" s="2782" t="s">
        <v>2882</v>
      </c>
      <c r="E17" s="920" t="str">
        <f>IF(OR(G2="八级",G2="九级",G2="十级",G2="十一级",G2="十二级"),"五通一平","七通一平")</f>
        <v>七通一平</v>
      </c>
      <c r="F17" s="921" t="s">
        <v>2883</v>
      </c>
      <c r="G17" s="921">
        <f>SUMPRODUCT((七通一平=G16)*(修正!B1:M1=G2)*(修正!B6:M14))</f>
        <v>0</v>
      </c>
      <c r="H17" s="921">
        <f>SUMPRODUCT((七通一平=H16)*(修正!B1:M1=G2)*(修正!B6:M14))</f>
        <v>0</v>
      </c>
      <c r="I17" s="921">
        <f>SUMPRODUCT((七通一平=I16)*(修正!B1:M1=G2)*(修正!B6:M14))</f>
        <v>0</v>
      </c>
      <c r="J17" s="922">
        <f>SUMPRODUCT((七通一平=J16)*(修正!B1:M1=G2)*(修正!B6:M14))</f>
        <v>0</v>
      </c>
      <c r="K17" s="1370"/>
      <c r="L17" s="2783" t="s">
        <v>2884</v>
      </c>
      <c r="M17" s="211">
        <f ca="1">ROUND($E$20*(1+M16),3)</f>
        <v>5.3999999999999999E-2</v>
      </c>
      <c r="N17" s="211">
        <f ca="1">ROUND($E$20*(1+N16),3)</f>
        <v>5.1999999999999998E-2</v>
      </c>
      <c r="O17" s="211">
        <f ca="1">ROUND($E$20*(1+O16),3)</f>
        <v>0.05</v>
      </c>
      <c r="P17" s="1373">
        <f ca="1">ROUND($E$20*(1+P16),3)</f>
        <v>4.8000000000000001E-2</v>
      </c>
      <c r="Q17" s="1370"/>
      <c r="R17" s="1370"/>
      <c r="S17" s="1370"/>
      <c r="T17" s="1370"/>
      <c r="U17" s="1370"/>
      <c r="V17" s="1370"/>
      <c r="W17" s="1370"/>
      <c r="X17" s="1370"/>
      <c r="Y17" s="1370"/>
      <c r="Z17" s="1371"/>
      <c r="AE17" s="2784"/>
      <c r="AF17" s="2784"/>
      <c r="AG17" s="2716"/>
      <c r="AH17" s="2716"/>
      <c r="AI17" s="2716"/>
      <c r="AJ17" s="2716"/>
    </row>
    <row r="18" spans="1:37" s="2734" customFormat="1" ht="15.75" thickBot="1">
      <c r="A18" s="2785" t="s">
        <v>808</v>
      </c>
      <c r="B18" s="2786" t="s">
        <v>2885</v>
      </c>
      <c r="C18" s="923">
        <f>SUMIF(修正!C18:C39,E3,修正!E18:E39)</f>
        <v>1</v>
      </c>
      <c r="D18" s="2787"/>
      <c r="E18" s="2788"/>
      <c r="F18" s="2789"/>
      <c r="G18" s="2790"/>
      <c r="H18" s="2790"/>
      <c r="I18" s="2790"/>
      <c r="J18" s="2791"/>
      <c r="K18" s="1377"/>
      <c r="O18" s="1375"/>
      <c r="P18" s="1375"/>
      <c r="Q18" s="1376"/>
      <c r="R18" s="1376"/>
      <c r="S18" s="1376"/>
      <c r="T18" s="1371"/>
      <c r="U18" s="1371"/>
      <c r="V18" s="1371"/>
      <c r="W18" s="1370"/>
      <c r="X18" s="1370"/>
      <c r="Y18" s="1370"/>
      <c r="Z18" s="1377"/>
      <c r="AA18" s="1378"/>
      <c r="AB18" s="1378"/>
      <c r="AC18" s="1378"/>
      <c r="AD18" s="1378"/>
      <c r="AE18" s="1372"/>
      <c r="AF18" s="1372"/>
      <c r="AG18" s="2792"/>
      <c r="AH18" s="2792"/>
      <c r="AI18" s="2792"/>
    </row>
    <row r="19" spans="1:37" s="2734" customFormat="1" ht="29.25" thickBot="1">
      <c r="A19" s="2785" t="s">
        <v>809</v>
      </c>
      <c r="B19" s="2786" t="s">
        <v>2886</v>
      </c>
      <c r="C19" s="924">
        <f>ROUND(IF(H19="按公示增长率计算",SUMPRODUCT((地价!A3:A21=YEAR(G19)&amp;"-"&amp;ROUNDUP(MONTH(G19)/3,0))*(地价!X2:AB2=E2)*(地价!X3:AB21)),IF(H19="地价指数",M20/M19,(1+I19)^O19)),4)</f>
        <v>1.4825999999999999</v>
      </c>
      <c r="D19" s="2793" t="s">
        <v>2887</v>
      </c>
      <c r="E19" s="925">
        <v>41640</v>
      </c>
      <c r="F19" s="2793" t="s">
        <v>2888</v>
      </c>
      <c r="G19" s="926">
        <f>'数据-取费表'!B2</f>
        <v>43111</v>
      </c>
      <c r="H19" s="2794" t="s">
        <v>3253</v>
      </c>
      <c r="I19" s="927" t="str">
        <f>IF(H19="季度增幅（自定义）",SUMIF(N21:N24,E2,O21:O24),"")</f>
        <v/>
      </c>
      <c r="J19" s="2791"/>
      <c r="K19" s="1377"/>
      <c r="L19" s="2795" t="s">
        <v>2889</v>
      </c>
      <c r="M19" s="1734">
        <f>ROUND(SUMIF(地价!B2:F2,E2,地价!B21:F21),0)</f>
        <v>423</v>
      </c>
      <c r="N19" s="2796" t="s">
        <v>2890</v>
      </c>
      <c r="O19" s="928">
        <f>ROUNDDOWN(DATEDIF(E19,G19,"M")/3,0)</f>
        <v>16</v>
      </c>
      <c r="P19" s="1374"/>
      <c r="Q19" s="1376"/>
      <c r="R19" s="1376"/>
      <c r="S19" s="1376"/>
      <c r="T19" s="1371"/>
      <c r="U19" s="1371"/>
      <c r="V19" s="1371"/>
      <c r="W19" s="1370"/>
      <c r="X19" s="1370"/>
      <c r="Y19" s="1370"/>
      <c r="Z19" s="1377"/>
      <c r="AA19" s="1378"/>
      <c r="AB19" s="1378"/>
      <c r="AC19" s="1378"/>
      <c r="AD19" s="1378"/>
      <c r="AE19" s="1378"/>
      <c r="AF19" s="2797"/>
      <c r="AG19" s="2798"/>
      <c r="AH19" s="2792"/>
      <c r="AI19" s="2799"/>
      <c r="AJ19" s="2799"/>
      <c r="AK19" s="2799"/>
    </row>
    <row r="20" spans="1:37" s="2734" customFormat="1" ht="27.75" thickBot="1">
      <c r="A20" s="2800" t="s">
        <v>810</v>
      </c>
      <c r="B20" s="2801" t="s">
        <v>2891</v>
      </c>
      <c r="C20" s="929">
        <f ca="1">ROUND(POWER(1+G20,J20-I20)*(POWER(1+G20,I20)-1)/(POWER(1+G20,J20)-1),4)</f>
        <v>0.99650000000000005</v>
      </c>
      <c r="D20" s="2802" t="s">
        <v>2892</v>
      </c>
      <c r="E20" s="1768">
        <f ca="1">存贷款利率!D4/100</f>
        <v>4.3499999999999997E-2</v>
      </c>
      <c r="F20" s="2802" t="s">
        <v>2884</v>
      </c>
      <c r="G20" s="934">
        <f ca="1">SUMIF(M15:P15,E2,M17:P17)</f>
        <v>0.05</v>
      </c>
      <c r="H20" s="2802" t="s">
        <v>2893</v>
      </c>
      <c r="I20" s="935">
        <f>SUMIF('数据-取费表'!C6:C15,E2,'数据-取费表'!F6:F15)/COUNTIF('数据-取费表'!C6:C15,E2)</f>
        <v>67.97</v>
      </c>
      <c r="J20" s="936">
        <f>IF(E2="住宅",70,IF(E2="商业",40,50))</f>
        <v>70</v>
      </c>
      <c r="K20" s="1377"/>
      <c r="L20" s="2803" t="s">
        <v>2894</v>
      </c>
      <c r="M20" s="1735">
        <f>ROUND(SUMPRODUCT((地价!A4:A21=YEAR(G19)&amp;"-"&amp;ROUNDUP(MONTH(G19)/3,0))*(地价!B2:F2=E2)*(地价!B4:F21)),0)</f>
        <v>626</v>
      </c>
      <c r="N20" s="2804" t="s">
        <v>2895</v>
      </c>
      <c r="O20" s="2805" t="s">
        <v>2896</v>
      </c>
      <c r="P20" s="2806" t="s">
        <v>2897</v>
      </c>
      <c r="R20" s="1376"/>
      <c r="S20" s="1376"/>
      <c r="T20" s="1371"/>
      <c r="U20" s="1371"/>
      <c r="V20" s="1371"/>
      <c r="W20" s="1370"/>
      <c r="X20" s="1370"/>
      <c r="Y20" s="1370"/>
      <c r="Z20" s="1377"/>
      <c r="AA20" s="1378"/>
      <c r="AB20" s="1378"/>
      <c r="AC20" s="1378"/>
      <c r="AD20" s="1378"/>
      <c r="AE20" s="1378"/>
      <c r="AF20" s="1378"/>
    </row>
    <row r="21" spans="1:37" s="2734" customFormat="1" ht="15">
      <c r="A21" s="2807" t="s">
        <v>811</v>
      </c>
      <c r="B21" s="2808" t="s">
        <v>3254</v>
      </c>
      <c r="C21" s="937">
        <f>IF(B21="容积率修正",IF(G3&lt;=10,D22,J22),C23)</f>
        <v>1.1414</v>
      </c>
      <c r="D21" s="2809"/>
      <c r="E21" s="2809"/>
      <c r="F21" s="2809"/>
      <c r="G21" s="2809"/>
      <c r="H21" s="2809"/>
      <c r="I21" s="2809"/>
      <c r="J21" s="2810"/>
      <c r="K21" s="1377"/>
      <c r="N21" s="2811" t="s">
        <v>2898</v>
      </c>
      <c r="O21" s="1561"/>
      <c r="P21" s="1562">
        <f>SUMPRODUCT((地价!A3:A21=YEAR(G19)&amp;"-"&amp;ROUNDUP(MONTH(G19)/3,0))*(地价!AD2:AH2=N21)*(地价!AD3:AH21))</f>
        <v>1.55E-2</v>
      </c>
      <c r="R21" s="1376"/>
      <c r="S21" s="1376"/>
      <c r="T21" s="1371"/>
      <c r="U21" s="1371"/>
      <c r="V21" s="1371"/>
      <c r="W21" s="1370"/>
      <c r="X21" s="1370"/>
      <c r="Y21" s="1370"/>
      <c r="Z21" s="1377"/>
      <c r="AA21" s="1378"/>
      <c r="AB21" s="1378"/>
      <c r="AC21" s="1378"/>
      <c r="AD21" s="1378"/>
      <c r="AE21" s="1378"/>
      <c r="AF21" s="1378"/>
    </row>
    <row r="22" spans="1:37" s="2734" customFormat="1" ht="14.25">
      <c r="A22" s="2660" t="s">
        <v>2899</v>
      </c>
      <c r="B22" s="2812" t="s">
        <v>2900</v>
      </c>
      <c r="C22" s="1810" t="s">
        <v>2901</v>
      </c>
      <c r="D22" s="1810">
        <f>IF(E22=G22,F22,IF(G3&lt;=10,ROUND(F22+(H22-F22)*(G3-E22)/(G22-E22),4),"——"))</f>
        <v>1.1414</v>
      </c>
      <c r="E22" s="913">
        <f>ROUNDDOWN(G3,1)</f>
        <v>1.4</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1.1557999999999999</v>
      </c>
      <c r="G22" s="913">
        <f>ROUNDUP(G3,1)</f>
        <v>1.5</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1.1377999999999999</v>
      </c>
      <c r="I22" s="1810" t="s">
        <v>155</v>
      </c>
      <c r="J22" s="938" t="str">
        <f>IF(G3&gt;10,D113,"——")</f>
        <v>——</v>
      </c>
      <c r="K22" s="1377"/>
      <c r="N22" s="2811" t="s">
        <v>2902</v>
      </c>
      <c r="O22" s="1561"/>
      <c r="P22" s="1562">
        <f>SUMPRODUCT((地价!A3:A21=YEAR(G19)&amp;"-"&amp;ROUNDUP(MONTH(G19)/3,0))*(地价!AD2:AH2=N22)*(地价!AD3:AH21))</f>
        <v>1.55E-2</v>
      </c>
      <c r="R22" s="1376"/>
      <c r="S22" s="1376"/>
      <c r="T22" s="1371"/>
      <c r="U22" s="1371"/>
      <c r="V22" s="1371"/>
      <c r="W22" s="1370"/>
      <c r="X22" s="1370"/>
      <c r="Y22" s="1370"/>
      <c r="Z22" s="1377"/>
      <c r="AA22" s="1378"/>
      <c r="AB22" s="1378"/>
      <c r="AC22" s="1378"/>
      <c r="AD22" s="1378"/>
      <c r="AE22" s="1378"/>
      <c r="AF22" s="1378"/>
    </row>
    <row r="23" spans="1:37" ht="27.75" thickBot="1">
      <c r="A23" s="2660" t="s">
        <v>2903</v>
      </c>
      <c r="B23" s="2813" t="s">
        <v>2904</v>
      </c>
      <c r="C23" s="1013">
        <f>ROUND(IF(G3&gt;1,IF(I3&lt;7,SUMPRODUCT((B93:B98=I3)*(C92:N92=G2)*(C93:N98)),SUMIF(C92:N92,G2,C100:N100)),IF(I3&lt;7,SUMPRODUCT((B102:B107=I3)*(C92:N92=G2)*(C102:N107)),SUMIF(C92:N92,G2,C109:N109))),4)</f>
        <v>0</v>
      </c>
      <c r="D23" s="2769"/>
      <c r="E23" s="2769"/>
      <c r="F23" s="2814"/>
      <c r="G23" s="2815"/>
      <c r="H23" s="2816"/>
      <c r="I23" s="2817"/>
      <c r="J23" s="2818"/>
      <c r="K23" s="1370"/>
      <c r="N23" s="2811" t="s">
        <v>2905</v>
      </c>
      <c r="O23" s="1561"/>
      <c r="P23" s="1562">
        <f>SUMPRODUCT((地价!A3:A21=YEAR(G19)&amp;"-"&amp;ROUNDUP(MONTH(G19)/3,0))*(地价!AD2:AH2=N23)*(地价!AD3:AH21))</f>
        <v>2.5499999999999998E-2</v>
      </c>
      <c r="R23" s="1376"/>
      <c r="S23" s="1376"/>
      <c r="T23" s="1371"/>
      <c r="U23" s="1371"/>
      <c r="V23" s="1371"/>
      <c r="W23" s="1370"/>
      <c r="X23" s="1370"/>
      <c r="Y23" s="1370"/>
      <c r="Z23" s="1377"/>
      <c r="AA23" s="1378"/>
      <c r="AB23" s="1378"/>
      <c r="AC23" s="1378"/>
      <c r="AD23" s="1378"/>
      <c r="AK23" s="2792"/>
    </row>
    <row r="24" spans="1:37" s="2734" customFormat="1" ht="15.75" thickBot="1">
      <c r="A24" s="2800" t="s">
        <v>812</v>
      </c>
      <c r="B24" s="2786" t="s">
        <v>2906</v>
      </c>
      <c r="C24" s="924">
        <f>SUMIF(A45:A88,E2,B45:B88)</f>
        <v>1.0624</v>
      </c>
      <c r="D24" s="2789"/>
      <c r="E24" s="2819"/>
      <c r="F24" s="2819"/>
      <c r="G24" s="2819"/>
      <c r="H24" s="2819"/>
      <c r="I24" s="2819"/>
      <c r="J24" s="2820"/>
      <c r="K24" s="1377"/>
      <c r="N24" s="2821" t="s">
        <v>2907</v>
      </c>
      <c r="O24" s="1563"/>
      <c r="P24" s="1564">
        <f>SUMPRODUCT((地价!A3:A21=YEAR(G19)&amp;"-"&amp;ROUNDUP(MONTH(G19)/3,0))*(地价!AD2:AH2=N24)*(地价!AD3:AH21))</f>
        <v>1.3100000000000001E-2</v>
      </c>
      <c r="R24" s="1376"/>
      <c r="S24" s="1376"/>
      <c r="T24" s="1371"/>
      <c r="U24" s="1371"/>
      <c r="V24" s="1371"/>
      <c r="W24" s="1370"/>
      <c r="X24" s="1370"/>
      <c r="Y24" s="1370"/>
      <c r="Z24" s="1377"/>
      <c r="AA24" s="1378"/>
      <c r="AB24" s="1378"/>
      <c r="AC24" s="1378"/>
      <c r="AD24" s="1378"/>
      <c r="AE24" s="1378"/>
      <c r="AF24" s="1378"/>
    </row>
    <row r="25" spans="1:37" ht="15.75" thickBot="1">
      <c r="A25" s="2800" t="s">
        <v>813</v>
      </c>
      <c r="B25" s="2822" t="s">
        <v>2908</v>
      </c>
      <c r="C25" s="930"/>
      <c r="D25" s="2744"/>
      <c r="E25" s="2744"/>
      <c r="F25" s="2823"/>
      <c r="G25" s="2744"/>
      <c r="H25" s="2744"/>
      <c r="I25" s="2744"/>
      <c r="J25" s="2745"/>
      <c r="K25" s="1370"/>
      <c r="N25" s="2824" t="s">
        <v>2909</v>
      </c>
      <c r="O25" s="1565"/>
      <c r="P25" s="1564">
        <f>SUMPRODUCT((地价!A3:A21=YEAR(G19)&amp;"-"&amp;ROUNDUP(MONTH(G19)/3,0))*(地价!AD2:AH2=N25)*(地价!AD3:AH21))</f>
        <v>2.3E-2</v>
      </c>
      <c r="R25" s="1376"/>
      <c r="S25" s="1376"/>
      <c r="T25" s="1371"/>
      <c r="U25" s="1371"/>
      <c r="V25" s="1371"/>
      <c r="W25" s="1370"/>
      <c r="X25" s="1370"/>
      <c r="Y25" s="1370"/>
      <c r="Z25" s="1377"/>
      <c r="AA25" s="1378"/>
      <c r="AB25" s="1378"/>
      <c r="AC25" s="1378"/>
      <c r="AD25" s="1378"/>
    </row>
    <row r="26" spans="1:37" ht="15">
      <c r="A26" s="2825"/>
      <c r="B26" s="2812" t="s">
        <v>2910</v>
      </c>
      <c r="C26" s="206">
        <f ca="1">E29+SUM(E33:E39)</f>
        <v>74325</v>
      </c>
      <c r="D26" s="2826"/>
      <c r="E26" s="2769"/>
      <c r="F26" s="2827"/>
      <c r="G26" s="2769"/>
      <c r="H26" s="2769"/>
      <c r="I26" s="2769"/>
      <c r="J26" s="2828"/>
      <c r="K26" s="1370"/>
      <c r="R26" s="1376"/>
      <c r="S26" s="1376"/>
      <c r="T26" s="1371"/>
      <c r="U26" s="1371"/>
      <c r="V26" s="1371"/>
      <c r="W26" s="1370"/>
      <c r="X26" s="1370"/>
      <c r="Y26" s="1370"/>
      <c r="Z26" s="1377"/>
      <c r="AA26" s="1378"/>
      <c r="AB26" s="1378"/>
      <c r="AC26" s="1378"/>
      <c r="AD26" s="1378"/>
    </row>
    <row r="27" spans="1:37" ht="15.75" thickBot="1">
      <c r="A27" s="2825"/>
      <c r="B27" s="2829" t="s">
        <v>2911</v>
      </c>
      <c r="C27" s="931" t="e">
        <f ca="1">E30+SUM(I33:I39)</f>
        <v>#DIV/0!</v>
      </c>
      <c r="D27" s="2830"/>
      <c r="E27" s="2831"/>
      <c r="F27" s="2832"/>
      <c r="G27" s="2831"/>
      <c r="H27" s="2831"/>
      <c r="I27" s="2831"/>
      <c r="J27" s="2833"/>
      <c r="K27" s="1370"/>
      <c r="L27" s="1370"/>
      <c r="M27" s="1370"/>
      <c r="N27" s="1370"/>
      <c r="O27" s="1375"/>
      <c r="P27" s="1375"/>
      <c r="Q27" s="1376"/>
      <c r="R27" s="1376"/>
      <c r="S27" s="1376"/>
      <c r="T27" s="1371"/>
      <c r="U27" s="1371"/>
      <c r="V27" s="1371"/>
      <c r="W27" s="1370"/>
      <c r="X27" s="1370"/>
      <c r="Y27" s="1370"/>
      <c r="Z27" s="1377"/>
      <c r="AA27" s="1378"/>
      <c r="AB27" s="1378"/>
      <c r="AC27" s="1378"/>
      <c r="AD27" s="1378"/>
    </row>
    <row r="28" spans="1:37" ht="15">
      <c r="A28" s="2834"/>
      <c r="B28" s="2835" t="s">
        <v>2912</v>
      </c>
      <c r="C28" s="2836" t="s">
        <v>2913</v>
      </c>
      <c r="D28" s="2836" t="s">
        <v>2914</v>
      </c>
      <c r="E28" s="2837" t="s">
        <v>2915</v>
      </c>
      <c r="F28" s="2838"/>
      <c r="G28" s="2757"/>
      <c r="H28" s="2757"/>
      <c r="I28" s="2757"/>
      <c r="J28" s="2758"/>
      <c r="K28" s="1370"/>
      <c r="L28" s="1370"/>
      <c r="M28" s="1370"/>
      <c r="N28" s="1370"/>
      <c r="O28" s="1375"/>
      <c r="P28" s="1375"/>
      <c r="Q28" s="1376"/>
      <c r="R28" s="1376"/>
      <c r="S28" s="1376"/>
      <c r="T28" s="1371"/>
      <c r="U28" s="1371"/>
      <c r="V28" s="1371"/>
      <c r="W28" s="1370"/>
      <c r="X28" s="1370"/>
      <c r="Y28" s="1370"/>
      <c r="Z28" s="1377"/>
      <c r="AA28" s="1378"/>
      <c r="AB28" s="1378"/>
      <c r="AC28" s="1378"/>
      <c r="AD28" s="1378"/>
    </row>
    <row r="29" spans="1:37" ht="22.5" customHeight="1">
      <c r="A29" s="2839"/>
      <c r="B29" s="2840" t="s">
        <v>2916</v>
      </c>
      <c r="C29" s="206">
        <f ca="1">ROUND(C5*C18*C19*C20*C21*C24,0)</f>
        <v>13562</v>
      </c>
      <c r="D29" s="2841">
        <f>'数据-汇总表'!F27</f>
        <v>51317.149999999929</v>
      </c>
      <c r="E29" s="942">
        <f ca="1">ROUND(C29*D29/10000,0)</f>
        <v>69596</v>
      </c>
      <c r="F29" s="2842" t="s">
        <v>2917</v>
      </c>
      <c r="G29" s="2843"/>
      <c r="H29" s="2843"/>
      <c r="I29" s="2843"/>
      <c r="J29" s="2844"/>
      <c r="K29" s="1370"/>
      <c r="L29" s="1370"/>
      <c r="M29" s="1370"/>
      <c r="N29" s="1370"/>
      <c r="O29" s="1375"/>
      <c r="P29" s="1375"/>
      <c r="Q29" s="1376"/>
      <c r="R29" s="1376"/>
      <c r="S29" s="1376"/>
      <c r="T29" s="1371"/>
      <c r="U29" s="1371"/>
      <c r="V29" s="1371"/>
      <c r="W29" s="1370"/>
      <c r="X29" s="1370"/>
      <c r="Y29" s="1370"/>
      <c r="Z29" s="1377"/>
      <c r="AA29" s="1378"/>
      <c r="AB29" s="1378"/>
      <c r="AC29" s="1378"/>
      <c r="AD29" s="1378"/>
      <c r="AE29" s="2784"/>
      <c r="AF29" s="2784"/>
      <c r="AG29" s="2716"/>
      <c r="AH29" s="2716"/>
      <c r="AI29" s="2716"/>
      <c r="AJ29" s="2716"/>
    </row>
    <row r="30" spans="1:37" ht="25.5" thickBot="1">
      <c r="A30" s="2845"/>
      <c r="B30" s="2846" t="s">
        <v>2918</v>
      </c>
      <c r="C30" s="229">
        <f ca="1">ROUND(IF(E2="工业",C29*M39,C29*M38),0)</f>
        <v>3391</v>
      </c>
      <c r="D30" s="2847"/>
      <c r="E30" s="942">
        <f ca="1">ROUND(C30*D30/10000,0)</f>
        <v>0</v>
      </c>
      <c r="F30" s="2848" t="s">
        <v>2919</v>
      </c>
      <c r="G30" s="2849"/>
      <c r="H30" s="2849"/>
      <c r="I30" s="2849"/>
      <c r="J30" s="2850"/>
      <c r="K30" s="1370"/>
      <c r="L30" s="1370"/>
      <c r="M30" s="1370"/>
      <c r="N30" s="1370"/>
      <c r="O30" s="1375"/>
      <c r="P30" s="1375"/>
      <c r="Q30" s="1376"/>
      <c r="R30" s="1376"/>
      <c r="S30" s="1376"/>
      <c r="T30" s="1371"/>
      <c r="U30" s="1371"/>
      <c r="V30" s="1371"/>
      <c r="W30" s="1370"/>
      <c r="X30" s="1370"/>
      <c r="Y30" s="1370"/>
      <c r="Z30" s="1377"/>
      <c r="AA30" s="1378"/>
      <c r="AB30" s="1378"/>
      <c r="AC30" s="1378"/>
      <c r="AD30" s="1378"/>
      <c r="AE30" s="2784"/>
      <c r="AF30" s="2784"/>
      <c r="AG30" s="2716"/>
      <c r="AH30" s="2716"/>
      <c r="AI30" s="2716"/>
      <c r="AJ30" s="2716"/>
    </row>
    <row r="31" spans="1:37" ht="14.25">
      <c r="A31" s="2851"/>
      <c r="B31" s="2852" t="s">
        <v>2920</v>
      </c>
      <c r="C31" s="2853" t="s">
        <v>2921</v>
      </c>
      <c r="D31" s="2757"/>
      <c r="E31" s="2853"/>
      <c r="F31" s="2853"/>
      <c r="G31" s="2755" t="s">
        <v>2922</v>
      </c>
      <c r="H31" s="2757"/>
      <c r="I31" s="2854"/>
      <c r="J31" s="2758"/>
      <c r="K31" s="1370"/>
      <c r="L31" s="1370"/>
      <c r="M31" s="1370"/>
      <c r="N31" s="1370"/>
      <c r="O31" s="1375"/>
      <c r="P31" s="1375"/>
      <c r="Q31" s="1376"/>
      <c r="R31" s="1376"/>
      <c r="S31" s="1376"/>
      <c r="T31" s="1371"/>
      <c r="U31" s="1371"/>
      <c r="V31" s="1371"/>
      <c r="W31" s="1370"/>
      <c r="X31" s="1370"/>
      <c r="Y31" s="1370"/>
      <c r="Z31" s="1377"/>
      <c r="AA31" s="1378"/>
      <c r="AB31" s="1378"/>
      <c r="AC31" s="1378"/>
      <c r="AD31" s="1378"/>
      <c r="AE31" s="2784"/>
      <c r="AF31" s="2784"/>
      <c r="AG31" s="2716"/>
      <c r="AH31" s="2716"/>
      <c r="AI31" s="2716"/>
      <c r="AJ31" s="2716"/>
    </row>
    <row r="32" spans="1:37" ht="24">
      <c r="A32" s="2839"/>
      <c r="B32" s="2855"/>
      <c r="C32" s="501" t="s">
        <v>2913</v>
      </c>
      <c r="D32" s="498" t="s">
        <v>2914</v>
      </c>
      <c r="E32" s="498" t="s">
        <v>2915</v>
      </c>
      <c r="F32" s="388" t="s">
        <v>2923</v>
      </c>
      <c r="G32" s="2856" t="s">
        <v>2913</v>
      </c>
      <c r="H32" s="2856" t="s">
        <v>2914</v>
      </c>
      <c r="I32" s="2856" t="s">
        <v>2915</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4"/>
      <c r="AF32" s="2784"/>
      <c r="AG32" s="2716"/>
      <c r="AH32" s="2716"/>
      <c r="AI32" s="2716"/>
      <c r="AJ32" s="2716"/>
    </row>
    <row r="33" spans="1:37" ht="36" customHeight="1">
      <c r="A33" s="3373" t="s">
        <v>2924</v>
      </c>
      <c r="B33" s="2857" t="s">
        <v>2925</v>
      </c>
      <c r="C33" s="206">
        <f ca="1">ROUND(D5*C19*C20*C24*F33,0)</f>
        <v>0</v>
      </c>
      <c r="D33" s="2841"/>
      <c r="E33" s="200">
        <f ca="1">ROUND(C33*D33/10000,0)</f>
        <v>0</v>
      </c>
      <c r="F33" s="200">
        <f>SUMIF(修正!A45:A56,G2,修正!B45:B56)</f>
        <v>0.7</v>
      </c>
      <c r="G33" s="200">
        <f t="shared" ref="G33:G39" ca="1" si="6">ROUND(IF(E2="工业",C33*$M$39,C33*$M$38),0)</f>
        <v>0</v>
      </c>
      <c r="H33" s="200">
        <f>D33</f>
        <v>0</v>
      </c>
      <c r="I33" s="200">
        <f ca="1">ROUND(G33*H33/10000,0)</f>
        <v>0</v>
      </c>
      <c r="J33" s="2858"/>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374"/>
      <c r="B34" s="2761" t="s">
        <v>2926</v>
      </c>
      <c r="C34" s="206">
        <f ca="1">ROUND(D5*C19*C20*C24*F34,0)</f>
        <v>0</v>
      </c>
      <c r="D34" s="2841"/>
      <c r="E34" s="200">
        <f t="shared" ref="E34:E39" ca="1" si="7">ROUND(C34*D34/10000,0)</f>
        <v>0</v>
      </c>
      <c r="F34" s="200">
        <f>SUMIF(修正!A45:A56,G2,修正!C45:C56)</f>
        <v>0.4</v>
      </c>
      <c r="G34" s="200">
        <f t="shared" ca="1" si="6"/>
        <v>0</v>
      </c>
      <c r="H34" s="200">
        <f t="shared" ref="H34:H39" si="8">D34</f>
        <v>0</v>
      </c>
      <c r="I34" s="200">
        <f t="shared" ref="I34:I39" ca="1" si="9">ROUND(G34*H34/10000,0)</f>
        <v>0</v>
      </c>
      <c r="J34" s="2858"/>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374"/>
      <c r="B35" s="2761" t="s">
        <v>2927</v>
      </c>
      <c r="C35" s="206">
        <f ca="1">ROUND(D5*C19*C20*C24*F35,0)</f>
        <v>0</v>
      </c>
      <c r="D35" s="2841"/>
      <c r="E35" s="200">
        <f t="shared" ca="1" si="7"/>
        <v>0</v>
      </c>
      <c r="F35" s="200">
        <f>SUMIF(修正!A45:A56,G2,修正!D45:D56)</f>
        <v>0.28000000000000003</v>
      </c>
      <c r="G35" s="200">
        <f t="shared" ca="1" si="6"/>
        <v>0</v>
      </c>
      <c r="H35" s="200">
        <f t="shared" si="8"/>
        <v>0</v>
      </c>
      <c r="I35" s="200">
        <f t="shared" ca="1" si="9"/>
        <v>0</v>
      </c>
      <c r="J35" s="2858"/>
      <c r="K35" s="1370"/>
      <c r="L35" s="1370"/>
      <c r="M35" s="1370"/>
      <c r="N35" s="1370"/>
      <c r="O35" s="1370"/>
      <c r="P35" s="1370"/>
      <c r="Q35" s="1370"/>
      <c r="R35" s="1370"/>
      <c r="S35" s="1370"/>
      <c r="T35" s="1370"/>
      <c r="U35" s="1370"/>
      <c r="V35" s="1370"/>
      <c r="W35" s="1370"/>
      <c r="X35" s="1370"/>
      <c r="Y35" s="1370"/>
      <c r="Z35" s="1371"/>
    </row>
    <row r="36" spans="1:37" ht="13.5" thickBot="1">
      <c r="A36" s="3375"/>
      <c r="B36" s="2761" t="s">
        <v>2928</v>
      </c>
      <c r="C36" s="206">
        <f ca="1">ROUND(D5*C19*C20*C24*F36,0)</f>
        <v>0</v>
      </c>
      <c r="D36" s="2841"/>
      <c r="E36" s="200">
        <f t="shared" ca="1" si="7"/>
        <v>0</v>
      </c>
      <c r="F36" s="200">
        <f>SUMIF(修正!A45:A56,G2,修正!E45:E56)</f>
        <v>0.25</v>
      </c>
      <c r="G36" s="200">
        <f t="shared" ca="1" si="6"/>
        <v>0</v>
      </c>
      <c r="H36" s="200">
        <f t="shared" si="8"/>
        <v>0</v>
      </c>
      <c r="I36" s="200">
        <f t="shared" ca="1" si="9"/>
        <v>0</v>
      </c>
      <c r="J36" s="2858"/>
      <c r="K36" s="1370"/>
      <c r="L36" s="2715"/>
      <c r="M36" s="2715"/>
      <c r="N36" s="1370"/>
      <c r="O36" s="1370"/>
      <c r="P36" s="1370"/>
      <c r="Q36" s="1370"/>
      <c r="R36" s="1370"/>
      <c r="S36" s="1370"/>
      <c r="T36" s="1370"/>
      <c r="U36" s="1370"/>
      <c r="V36" s="1370"/>
      <c r="W36" s="1370"/>
      <c r="X36" s="1370"/>
      <c r="Y36" s="1370"/>
      <c r="Z36" s="1371"/>
    </row>
    <row r="37" spans="1:37">
      <c r="A37" s="2859"/>
      <c r="B37" s="2761" t="s">
        <v>2929</v>
      </c>
      <c r="C37" s="200">
        <f ca="1">ROUND(C5*C19*C20*C24*F37,0)</f>
        <v>2970</v>
      </c>
      <c r="D37" s="2841"/>
      <c r="E37" s="200">
        <f t="shared" ca="1" si="7"/>
        <v>0</v>
      </c>
      <c r="F37" s="206">
        <f>SUMIF(修正!A45:A56,G2,修正!F45:F56)</f>
        <v>0.25</v>
      </c>
      <c r="G37" s="200">
        <f t="shared" ca="1" si="6"/>
        <v>743</v>
      </c>
      <c r="H37" s="200">
        <f t="shared" si="8"/>
        <v>0</v>
      </c>
      <c r="I37" s="200">
        <f t="shared" ca="1" si="9"/>
        <v>0</v>
      </c>
      <c r="J37" s="2858"/>
      <c r="K37" s="1370"/>
      <c r="L37" s="2860" t="s">
        <v>2930</v>
      </c>
      <c r="M37" s="2861"/>
      <c r="N37" s="1370"/>
      <c r="O37" s="1370"/>
      <c r="P37" s="1370"/>
      <c r="Q37" s="1370"/>
      <c r="R37" s="1370"/>
      <c r="S37" s="1370"/>
      <c r="T37" s="1370"/>
      <c r="U37" s="1370"/>
      <c r="V37" s="1370"/>
      <c r="W37" s="1370"/>
      <c r="X37" s="1370"/>
      <c r="Y37" s="1370"/>
      <c r="Z37" s="1371"/>
    </row>
    <row r="38" spans="1:37">
      <c r="A38" s="2859"/>
      <c r="B38" s="2761" t="s">
        <v>2931</v>
      </c>
      <c r="C38" s="200">
        <f ca="1">ROUND(C5*C19*C20*C24*F38,0)</f>
        <v>2970</v>
      </c>
      <c r="D38" s="2841">
        <f>'数据-汇总表'!G21</f>
        <v>7758.13</v>
      </c>
      <c r="E38" s="200">
        <f t="shared" ca="1" si="7"/>
        <v>2304</v>
      </c>
      <c r="F38" s="206">
        <f>SUMIF(修正!A45:A56,G2,修正!G45:G56)</f>
        <v>0.25</v>
      </c>
      <c r="G38" s="200">
        <f t="shared" ca="1" si="6"/>
        <v>743</v>
      </c>
      <c r="H38" s="200">
        <f t="shared" si="8"/>
        <v>7758.13</v>
      </c>
      <c r="I38" s="200">
        <f t="shared" ca="1" si="9"/>
        <v>576</v>
      </c>
      <c r="J38" s="2858"/>
      <c r="K38" s="1370"/>
      <c r="L38" s="1887" t="s">
        <v>2932</v>
      </c>
      <c r="M38" s="2862">
        <v>0.25</v>
      </c>
      <c r="N38" s="1370"/>
      <c r="O38" s="1370"/>
      <c r="P38" s="1370"/>
      <c r="Q38" s="1370"/>
      <c r="R38" s="1370"/>
      <c r="S38" s="1370"/>
      <c r="T38" s="1370"/>
      <c r="U38" s="1370"/>
      <c r="V38" s="1370"/>
      <c r="W38" s="1370"/>
      <c r="X38" s="1370"/>
      <c r="Y38" s="1370"/>
      <c r="Z38" s="1371"/>
    </row>
    <row r="39" spans="1:37" ht="13.5" thickBot="1">
      <c r="A39" s="2845"/>
      <c r="B39" s="2863" t="s">
        <v>2933</v>
      </c>
      <c r="C39" s="229">
        <f ca="1">ROUND(C5*C19*C20*C24*F39,0)</f>
        <v>2376</v>
      </c>
      <c r="D39" s="2847">
        <f>'数据-汇总表'!G22</f>
        <v>10208.15</v>
      </c>
      <c r="E39" s="229">
        <f t="shared" ca="1" si="7"/>
        <v>2425</v>
      </c>
      <c r="F39" s="932">
        <f>SUMIF(修正!A45:A56,G2,修正!H45:H56)</f>
        <v>0.2</v>
      </c>
      <c r="G39" s="229" t="e">
        <f t="shared" si="6"/>
        <v>#DIV/0!</v>
      </c>
      <c r="H39" s="229">
        <f t="shared" si="8"/>
        <v>10208.15</v>
      </c>
      <c r="I39" s="229" t="e">
        <f t="shared" si="9"/>
        <v>#DIV/0!</v>
      </c>
      <c r="J39" s="2864"/>
      <c r="K39" s="1370"/>
      <c r="L39" s="2865" t="s">
        <v>2876</v>
      </c>
      <c r="M39" s="2866">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867"/>
      <c r="Z41" s="1371"/>
      <c r="AA41" s="1371"/>
      <c r="AB41" s="1371"/>
      <c r="AC41" s="1371"/>
      <c r="AD41" s="1371"/>
      <c r="AE41" s="1371"/>
      <c r="AF41" s="1371"/>
      <c r="AG41" s="1371"/>
      <c r="AH41" s="1371"/>
      <c r="AI41" s="1371"/>
      <c r="AJ41" s="1371"/>
    </row>
    <row r="42" spans="1:37" s="1370" customFormat="1">
      <c r="A42" s="1371"/>
      <c r="B42" s="2867"/>
      <c r="Z42" s="1371"/>
      <c r="AA42" s="1371"/>
      <c r="AB42" s="1371"/>
      <c r="AC42" s="1371"/>
      <c r="AD42" s="1371"/>
      <c r="AE42" s="1371"/>
      <c r="AF42" s="1371"/>
      <c r="AG42" s="1371"/>
      <c r="AH42" s="1371"/>
      <c r="AI42" s="1371"/>
      <c r="AJ42" s="1371"/>
    </row>
    <row r="43" spans="1:37" s="1370" customFormat="1">
      <c r="A43" s="1371"/>
      <c r="B43" s="2867"/>
      <c r="Z43" s="1371"/>
      <c r="AA43" s="1371"/>
      <c r="AB43" s="1371"/>
      <c r="AC43" s="1371"/>
      <c r="AD43" s="1371"/>
      <c r="AE43" s="1371"/>
      <c r="AF43" s="1371"/>
      <c r="AG43" s="1371"/>
      <c r="AH43" s="1371"/>
      <c r="AI43" s="1371"/>
      <c r="AJ43" s="1371"/>
    </row>
    <row r="44" spans="1:37" s="1370" customFormat="1">
      <c r="A44" s="1371"/>
      <c r="B44" s="2867"/>
      <c r="Z44" s="1371"/>
      <c r="AA44" s="1371"/>
      <c r="AB44" s="1371"/>
      <c r="AC44" s="1371"/>
      <c r="AD44" s="1371"/>
      <c r="AE44" s="1371"/>
      <c r="AF44" s="1371"/>
      <c r="AG44" s="1371"/>
      <c r="AH44" s="1371"/>
      <c r="AI44" s="1371"/>
      <c r="AJ44" s="1371"/>
    </row>
    <row r="45" spans="1:37" s="1370" customFormat="1" ht="15.75" thickBot="1">
      <c r="A45" s="2868" t="s">
        <v>2934</v>
      </c>
      <c r="B45" s="2869"/>
      <c r="C45" s="7"/>
      <c r="D45" s="7"/>
      <c r="E45" s="7"/>
      <c r="F45" s="6"/>
      <c r="G45" s="6"/>
      <c r="H45" s="6"/>
      <c r="I45" s="7"/>
      <c r="J45" s="7"/>
      <c r="K45" s="7"/>
      <c r="L45" s="7"/>
      <c r="M45" s="7"/>
      <c r="N45" s="2784"/>
      <c r="Z45" s="1371"/>
      <c r="AA45" s="1371"/>
      <c r="AB45" s="1371"/>
      <c r="AC45" s="1371"/>
      <c r="AD45" s="1371"/>
      <c r="AE45" s="1371"/>
      <c r="AF45" s="1371"/>
      <c r="AG45" s="1371"/>
      <c r="AH45" s="1371"/>
      <c r="AI45" s="1371"/>
      <c r="AJ45" s="1371"/>
    </row>
    <row r="46" spans="1:37" s="1370" customFormat="1" ht="15">
      <c r="A46" s="2870" t="s">
        <v>2935</v>
      </c>
      <c r="B46" s="2871">
        <f>1+E48</f>
        <v>1</v>
      </c>
      <c r="C46" s="2872"/>
      <c r="D46" s="811"/>
      <c r="E46" s="812"/>
      <c r="F46" s="2873"/>
      <c r="G46" s="6"/>
      <c r="H46" s="7"/>
      <c r="I46" s="7"/>
      <c r="J46" s="7"/>
      <c r="K46" s="7"/>
      <c r="L46" s="7"/>
      <c r="M46" s="7"/>
      <c r="N46" s="2784"/>
      <c r="Z46" s="1371"/>
      <c r="AA46" s="1371"/>
      <c r="AB46" s="1371"/>
      <c r="AC46" s="1371"/>
      <c r="AD46" s="1371"/>
      <c r="AE46" s="1371"/>
      <c r="AF46" s="1371"/>
      <c r="AG46" s="1371"/>
      <c r="AH46" s="1371"/>
      <c r="AI46" s="1371"/>
      <c r="AJ46" s="1371"/>
    </row>
    <row r="47" spans="1:37" s="1370" customFormat="1" ht="24.75">
      <c r="A47" s="2874" t="s">
        <v>2936</v>
      </c>
      <c r="B47" s="1809" t="s">
        <v>2937</v>
      </c>
      <c r="C47" s="1809" t="s">
        <v>2938</v>
      </c>
      <c r="D47" s="1809" t="s">
        <v>2939</v>
      </c>
      <c r="E47" s="816" t="s">
        <v>2940</v>
      </c>
      <c r="F47" s="2875" t="s">
        <v>2941</v>
      </c>
      <c r="G47" s="1809" t="s">
        <v>754</v>
      </c>
      <c r="H47" s="2876" t="s">
        <v>2942</v>
      </c>
      <c r="I47" s="1809" t="s">
        <v>2943</v>
      </c>
      <c r="J47" s="603" t="s">
        <v>2592</v>
      </c>
      <c r="K47" s="603" t="s">
        <v>2593</v>
      </c>
      <c r="L47" s="603" t="s">
        <v>2594</v>
      </c>
      <c r="M47" s="603" t="s">
        <v>2595</v>
      </c>
      <c r="N47" s="603" t="s">
        <v>2596</v>
      </c>
      <c r="AA47" s="1371"/>
      <c r="AB47" s="1371"/>
      <c r="AC47" s="1371"/>
      <c r="AD47" s="1371"/>
      <c r="AE47" s="1371"/>
      <c r="AF47" s="1371"/>
      <c r="AG47" s="1371"/>
      <c r="AH47" s="1371"/>
      <c r="AI47" s="1371"/>
      <c r="AJ47" s="1371"/>
      <c r="AK47" s="1371"/>
    </row>
    <row r="48" spans="1:37" s="1370" customFormat="1" ht="38.25">
      <c r="A48" s="2874" t="s">
        <v>2944</v>
      </c>
      <c r="B48" s="2877" t="str">
        <f>估价对象房地状况!C4</f>
        <v>估价对象位于XX商圈，周边商业氛围成熟，人流量大，商业繁华度好</v>
      </c>
      <c r="C48" s="2766"/>
      <c r="D48" s="1286">
        <f t="shared" ref="D48:D56" si="10">SUMIF($J$47:$N$47,C48,J48:N48)</f>
        <v>0</v>
      </c>
      <c r="E48" s="818">
        <f>ROUND(SUM(D48:D56),4)</f>
        <v>0</v>
      </c>
      <c r="F48" s="2499" t="str">
        <f>IF(E2="商业",SUMIF(L1:L12,G2,N1:N12),"——")</f>
        <v>——</v>
      </c>
      <c r="G48" s="1284"/>
      <c r="H48" s="1288" t="str">
        <f t="shared" ref="H48:H56" si="11">IFERROR(ROUNDDOWN($F$48*I48/2,4),"——")</f>
        <v>——</v>
      </c>
      <c r="I48" s="817">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76.5">
      <c r="A49" s="2874" t="s">
        <v>2945</v>
      </c>
      <c r="B49" s="2878" t="str">
        <f>估价对象房地状况!C18</f>
        <v>估价对象多面临街，周边道路路网较为密集，公共交通通达情况较好，有417、533路等、停车便捷程度较好，综合评价交通便捷度较好。</v>
      </c>
      <c r="C49" s="2766"/>
      <c r="D49" s="1286">
        <f t="shared" si="10"/>
        <v>0</v>
      </c>
      <c r="E49" s="819"/>
      <c r="F49" s="2499"/>
      <c r="G49" s="1284"/>
      <c r="H49" s="1288" t="str">
        <f t="shared" si="11"/>
        <v>——</v>
      </c>
      <c r="I49" s="817">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5.5">
      <c r="A50" s="2874" t="s">
        <v>2946</v>
      </c>
      <c r="B50" s="2878" t="str">
        <f>估价对象房地状况!C19</f>
        <v>区域内多为住宅用地，对土地利用无不利影响。</v>
      </c>
      <c r="C50" s="2766"/>
      <c r="D50" s="1286">
        <f t="shared" si="10"/>
        <v>0</v>
      </c>
      <c r="E50" s="819"/>
      <c r="F50" s="2499"/>
      <c r="G50" s="1284"/>
      <c r="H50" s="1288" t="str">
        <f t="shared" si="11"/>
        <v>——</v>
      </c>
      <c r="I50" s="817">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74" t="s">
        <v>2947</v>
      </c>
      <c r="B51" s="2879" t="s">
        <v>2948</v>
      </c>
      <c r="C51" s="2766"/>
      <c r="D51" s="1286">
        <f t="shared" si="10"/>
        <v>0</v>
      </c>
      <c r="E51" s="819"/>
      <c r="F51" s="2499"/>
      <c r="G51" s="1284"/>
      <c r="H51" s="1288" t="str">
        <f t="shared" si="11"/>
        <v>——</v>
      </c>
      <c r="I51" s="817">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74" t="s">
        <v>2949</v>
      </c>
      <c r="B52" s="2878" t="str">
        <f>估价对象房地状况!C24</f>
        <v>城市支路——沟自头街</v>
      </c>
      <c r="C52" s="2766"/>
      <c r="D52" s="1286">
        <f t="shared" si="10"/>
        <v>0</v>
      </c>
      <c r="E52" s="819"/>
      <c r="F52" s="2499"/>
      <c r="G52" s="1284"/>
      <c r="H52" s="1288" t="str">
        <f t="shared" si="11"/>
        <v>——</v>
      </c>
      <c r="I52" s="817">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74" t="s">
        <v>2950</v>
      </c>
      <c r="B53" s="2880" t="s">
        <v>2951</v>
      </c>
      <c r="C53" s="2766"/>
      <c r="D53" s="1286">
        <f t="shared" si="10"/>
        <v>0</v>
      </c>
      <c r="E53" s="819"/>
      <c r="F53" s="2499"/>
      <c r="G53" s="1284"/>
      <c r="H53" s="1288" t="str">
        <f t="shared" si="11"/>
        <v>——</v>
      </c>
      <c r="I53" s="817">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127.5">
      <c r="A54" s="2881" t="s">
        <v>2952</v>
      </c>
      <c r="B54" s="1725" t="str">
        <f>估价对象房地状况!C21</f>
        <v>估价对象所在区域2公里范围内有：银行（中国银行、北京农村商业银行），购物（物联隆超市、超市发超市）、医院（北七家社区卫生服务中心），学校（北京市晨星学校、伊顿双语幼儿园），餐饮等，公共配套设施齐备情况较好。</v>
      </c>
      <c r="C54" s="2766"/>
      <c r="D54" s="1286">
        <f t="shared" si="10"/>
        <v>0</v>
      </c>
      <c r="E54" s="819"/>
      <c r="F54" s="2499"/>
      <c r="G54" s="1284"/>
      <c r="H54" s="1288" t="str">
        <f t="shared" si="11"/>
        <v>——</v>
      </c>
      <c r="I54" s="817">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81" t="s">
        <v>2953</v>
      </c>
      <c r="B55" s="2878" t="str">
        <f>估价对象房地状况!C22</f>
        <v>估价对象所在区域基础设施水平达到“七通”。</v>
      </c>
      <c r="C55" s="2766"/>
      <c r="D55" s="1286">
        <f t="shared" si="10"/>
        <v>0</v>
      </c>
      <c r="E55" s="819"/>
      <c r="F55" s="2499"/>
      <c r="G55" s="1284"/>
      <c r="H55" s="1288" t="str">
        <f t="shared" si="11"/>
        <v>——</v>
      </c>
      <c r="I55" s="817">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51.75" thickBot="1">
      <c r="A56" s="2882" t="s">
        <v>2954</v>
      </c>
      <c r="B56" s="2883" t="str">
        <f>估价对象房地状况!C20</f>
        <v>区域自然环境：未来科技城滨河公园；人文环境：无展览馆、博物馆等；综合评价环境状况一般。</v>
      </c>
      <c r="C56" s="2766"/>
      <c r="D56" s="1286">
        <f t="shared" si="10"/>
        <v>0</v>
      </c>
      <c r="E56" s="822"/>
      <c r="F56" s="2499"/>
      <c r="G56" s="1284"/>
      <c r="H56" s="1288" t="str">
        <f t="shared" si="11"/>
        <v>——</v>
      </c>
      <c r="I56" s="821">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70" t="s">
        <v>2955</v>
      </c>
      <c r="B57" s="2871">
        <f>1+E59</f>
        <v>1</v>
      </c>
      <c r="C57" s="811"/>
      <c r="D57" s="811"/>
      <c r="E57" s="812"/>
      <c r="F57" s="2873"/>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4" t="s">
        <v>2936</v>
      </c>
      <c r="B58" s="1809"/>
      <c r="C58" s="1809" t="s">
        <v>2938</v>
      </c>
      <c r="D58" s="1809" t="s">
        <v>2939</v>
      </c>
      <c r="E58" s="816" t="s">
        <v>2940</v>
      </c>
      <c r="F58" s="2875" t="s">
        <v>2956</v>
      </c>
      <c r="G58" s="1809" t="s">
        <v>754</v>
      </c>
      <c r="H58" s="2876" t="s">
        <v>2942</v>
      </c>
      <c r="I58" s="1809" t="s">
        <v>2943</v>
      </c>
      <c r="J58" s="603" t="s">
        <v>2592</v>
      </c>
      <c r="K58" s="603" t="s">
        <v>2593</v>
      </c>
      <c r="L58" s="603" t="s">
        <v>2594</v>
      </c>
      <c r="M58" s="603" t="s">
        <v>2595</v>
      </c>
      <c r="N58" s="603" t="s">
        <v>2596</v>
      </c>
      <c r="AA58" s="1371"/>
      <c r="AB58" s="1371"/>
      <c r="AC58" s="1371"/>
      <c r="AD58" s="1371"/>
      <c r="AE58" s="1371"/>
      <c r="AF58" s="1371"/>
      <c r="AG58" s="1371"/>
      <c r="AH58" s="1371"/>
      <c r="AI58" s="1371"/>
      <c r="AJ58" s="1371"/>
      <c r="AK58" s="1371"/>
    </row>
    <row r="59" spans="1:37" s="1370" customFormat="1" ht="38.25">
      <c r="A59" s="2874" t="s">
        <v>2957</v>
      </c>
      <c r="B59" s="2877" t="str">
        <f>估价对象房地状况!C17</f>
        <v>估价对象位于XX商圈，周边办公楼项目较多，入驻率高，办公集聚程度较好</v>
      </c>
      <c r="C59" s="2766"/>
      <c r="D59" s="1286">
        <f t="shared" ref="D59:D67" si="15">SUMIF($J$58:$N$58,C59,J59:N59)</f>
        <v>0</v>
      </c>
      <c r="E59" s="818">
        <f>ROUND(SUM(D59:D67),4)</f>
        <v>0</v>
      </c>
      <c r="F59" s="2499" t="str">
        <f>IF(E2="办公",SUMIF(L1:L12,G2,N1:N12),"——")</f>
        <v>——</v>
      </c>
      <c r="G59" s="1284"/>
      <c r="H59" s="1288" t="str">
        <f t="shared" ref="H59:H67" si="16">IFERROR(ROUNDDOWN($F$59*I59/2,4),"——")</f>
        <v>——</v>
      </c>
      <c r="I59" s="817">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76.5">
      <c r="A60" s="2874" t="s">
        <v>2945</v>
      </c>
      <c r="B60" s="2878" t="str">
        <f>估价对象房地状况!C18</f>
        <v>估价对象多面临街，周边道路路网较为密集，公共交通通达情况较好，有417、533路等、停车便捷程度较好，综合评价交通便捷度较好。</v>
      </c>
      <c r="C60" s="2766"/>
      <c r="D60" s="1286">
        <f t="shared" si="15"/>
        <v>0</v>
      </c>
      <c r="E60" s="819"/>
      <c r="F60" s="2499"/>
      <c r="G60" s="1284"/>
      <c r="H60" s="1288" t="str">
        <f t="shared" si="16"/>
        <v>——</v>
      </c>
      <c r="I60" s="817">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5.5">
      <c r="A61" s="2874" t="s">
        <v>2946</v>
      </c>
      <c r="B61" s="2878" t="str">
        <f>估价对象房地状况!C19</f>
        <v>区域内多为住宅用地，对土地利用无不利影响。</v>
      </c>
      <c r="C61" s="2766"/>
      <c r="D61" s="1286">
        <f t="shared" si="15"/>
        <v>0</v>
      </c>
      <c r="E61" s="819"/>
      <c r="F61" s="2499"/>
      <c r="G61" s="1284"/>
      <c r="H61" s="1288" t="str">
        <f t="shared" si="16"/>
        <v>——</v>
      </c>
      <c r="I61" s="817">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74" t="s">
        <v>2947</v>
      </c>
      <c r="B62" s="2879" t="s">
        <v>2948</v>
      </c>
      <c r="C62" s="2766"/>
      <c r="D62" s="1286">
        <f t="shared" si="15"/>
        <v>0</v>
      </c>
      <c r="E62" s="819"/>
      <c r="F62" s="2499"/>
      <c r="G62" s="1284"/>
      <c r="H62" s="1288" t="str">
        <f t="shared" si="16"/>
        <v>——</v>
      </c>
      <c r="I62" s="817">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74" t="s">
        <v>2949</v>
      </c>
      <c r="B63" s="2878" t="str">
        <f>估价对象房地状况!C24</f>
        <v>城市支路——沟自头街</v>
      </c>
      <c r="C63" s="2766"/>
      <c r="D63" s="1286">
        <f t="shared" si="15"/>
        <v>0</v>
      </c>
      <c r="E63" s="819"/>
      <c r="F63" s="2499"/>
      <c r="G63" s="1284"/>
      <c r="H63" s="1288" t="str">
        <f t="shared" si="16"/>
        <v>——</v>
      </c>
      <c r="I63" s="817">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74" t="s">
        <v>2950</v>
      </c>
      <c r="B64" s="2880" t="s">
        <v>2951</v>
      </c>
      <c r="C64" s="2766"/>
      <c r="D64" s="1286">
        <f t="shared" si="15"/>
        <v>0</v>
      </c>
      <c r="E64" s="819"/>
      <c r="F64" s="2499"/>
      <c r="G64" s="1284"/>
      <c r="H64" s="1288" t="str">
        <f t="shared" si="16"/>
        <v>——</v>
      </c>
      <c r="I64" s="817">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127.5">
      <c r="A65" s="2874" t="s">
        <v>2952</v>
      </c>
      <c r="B65" s="1725" t="str">
        <f>估价对象房地状况!C21</f>
        <v>估价对象所在区域2公里范围内有：银行（中国银行、北京农村商业银行），购物（物联隆超市、超市发超市）、医院（北七家社区卫生服务中心），学校（北京市晨星学校、伊顿双语幼儿园），餐饮等，公共配套设施齐备情况较好。</v>
      </c>
      <c r="C65" s="2766"/>
      <c r="D65" s="1286">
        <f t="shared" si="15"/>
        <v>0</v>
      </c>
      <c r="E65" s="819"/>
      <c r="F65" s="2499"/>
      <c r="G65" s="1284"/>
      <c r="H65" s="1288" t="str">
        <f t="shared" si="16"/>
        <v>——</v>
      </c>
      <c r="I65" s="817">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74" t="s">
        <v>2953</v>
      </c>
      <c r="B66" s="1725" t="str">
        <f>估价对象房地状况!C22</f>
        <v>估价对象所在区域基础设施水平达到“七通”。</v>
      </c>
      <c r="C66" s="2766"/>
      <c r="D66" s="1286">
        <f t="shared" si="15"/>
        <v>0</v>
      </c>
      <c r="E66" s="819"/>
      <c r="F66" s="2499"/>
      <c r="G66" s="1284"/>
      <c r="H66" s="1288" t="str">
        <f t="shared" si="16"/>
        <v>——</v>
      </c>
      <c r="I66" s="817">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51.75" thickBot="1">
      <c r="A67" s="2882" t="s">
        <v>2954</v>
      </c>
      <c r="B67" s="2884" t="str">
        <f>估价对象房地状况!C20</f>
        <v>区域自然环境：未来科技城滨河公园；人文环境：无展览馆、博物馆等；综合评价环境状况一般。</v>
      </c>
      <c r="C67" s="2766"/>
      <c r="D67" s="1286">
        <f t="shared" si="15"/>
        <v>0</v>
      </c>
      <c r="E67" s="822"/>
      <c r="F67" s="2499"/>
      <c r="G67" s="1284"/>
      <c r="H67" s="1288" t="str">
        <f t="shared" si="16"/>
        <v>——</v>
      </c>
      <c r="I67" s="821">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70" t="s">
        <v>2958</v>
      </c>
      <c r="B68" s="2871">
        <f>1+E70</f>
        <v>1.0624</v>
      </c>
      <c r="C68" s="811"/>
      <c r="D68" s="811"/>
      <c r="E68" s="812"/>
      <c r="F68" s="2873"/>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4" t="s">
        <v>2936</v>
      </c>
      <c r="B69" s="1809"/>
      <c r="C69" s="1809" t="s">
        <v>2938</v>
      </c>
      <c r="D69" s="1809" t="s">
        <v>2939</v>
      </c>
      <c r="E69" s="816" t="s">
        <v>2940</v>
      </c>
      <c r="F69" s="2875" t="s">
        <v>2956</v>
      </c>
      <c r="G69" s="1809" t="s">
        <v>754</v>
      </c>
      <c r="H69" s="2876" t="s">
        <v>2942</v>
      </c>
      <c r="I69" s="1809" t="s">
        <v>2943</v>
      </c>
      <c r="J69" s="603" t="s">
        <v>2592</v>
      </c>
      <c r="K69" s="603" t="s">
        <v>2593</v>
      </c>
      <c r="L69" s="603" t="s">
        <v>2594</v>
      </c>
      <c r="M69" s="603" t="s">
        <v>2595</v>
      </c>
      <c r="N69" s="603" t="s">
        <v>2596</v>
      </c>
      <c r="AA69" s="1371"/>
      <c r="AB69" s="1371"/>
      <c r="AC69" s="1371"/>
      <c r="AD69" s="1371"/>
      <c r="AE69" s="1371"/>
      <c r="AF69" s="1371"/>
      <c r="AG69" s="1371"/>
      <c r="AH69" s="1371"/>
      <c r="AI69" s="1371"/>
      <c r="AJ69" s="1371"/>
      <c r="AK69" s="1371"/>
    </row>
    <row r="70" spans="1:37" s="1370" customFormat="1" ht="89.25">
      <c r="A70" s="2874" t="s">
        <v>2959</v>
      </c>
      <c r="B70" s="2877" t="str">
        <f>估价对象房地状况!C15</f>
        <v>估价对象周边居住用地比例大、居住小区规模大且社区发展完善程度较好，如北京晨浩花园、海德堡小区、柏林在线等住宅小区，综合评价居住社区成熟度好。</v>
      </c>
      <c r="C70" s="2766" t="s">
        <v>3190</v>
      </c>
      <c r="D70" s="1286">
        <f t="shared" ref="D70:D78" si="20">SUMIF($J$69:$N$69,C70,J70:N70)</f>
        <v>1.7600000000000001E-2</v>
      </c>
      <c r="E70" s="818">
        <f>ROUND(SUM(D70:D78),4)</f>
        <v>6.2399999999999997E-2</v>
      </c>
      <c r="F70" s="2499">
        <f>IF(E2="住宅",SUMIF(L1:L12,G2,N1:N12),"——")</f>
        <v>0.127</v>
      </c>
      <c r="G70" s="1284">
        <f t="shared" ref="G70:G78" si="21">H70</f>
        <v>8.8000000000000005E-3</v>
      </c>
      <c r="H70" s="1288">
        <f t="shared" ref="H70:H78" si="22">IFERROR(ROUNDDOWN($F$70*I70/2,4),"——")</f>
        <v>8.8000000000000005E-3</v>
      </c>
      <c r="I70" s="817">
        <v>0.14000000000000001</v>
      </c>
      <c r="J70" s="1285">
        <f t="shared" ref="J70:J78" si="23">K70+$G70</f>
        <v>1.7600000000000001E-2</v>
      </c>
      <c r="K70" s="1285">
        <f t="shared" ref="K70:K78" si="24">$L70+$G70</f>
        <v>8.8000000000000005E-3</v>
      </c>
      <c r="L70" s="1285">
        <v>0</v>
      </c>
      <c r="M70" s="1285">
        <f t="shared" ref="M70:N78" si="25">L70-$G70</f>
        <v>-8.8000000000000005E-3</v>
      </c>
      <c r="N70" s="1285">
        <f t="shared" si="25"/>
        <v>-1.7600000000000001E-2</v>
      </c>
      <c r="AA70" s="1371"/>
      <c r="AB70" s="1371"/>
      <c r="AC70" s="1371"/>
      <c r="AD70" s="1371"/>
      <c r="AE70" s="1371"/>
      <c r="AF70" s="1371"/>
      <c r="AG70" s="1371"/>
      <c r="AH70" s="1371"/>
      <c r="AI70" s="1371"/>
      <c r="AJ70" s="1371"/>
      <c r="AK70" s="1371"/>
    </row>
    <row r="71" spans="1:37" s="1370" customFormat="1" ht="76.5">
      <c r="A71" s="2874" t="s">
        <v>2945</v>
      </c>
      <c r="B71" s="2878" t="str">
        <f>估价对象房地状况!C18</f>
        <v>估价对象多面临街，周边道路路网较为密集，公共交通通达情况较好，有417、533路等、停车便捷程度较好，综合评价交通便捷度较好。</v>
      </c>
      <c r="C71" s="2766" t="s">
        <v>3189</v>
      </c>
      <c r="D71" s="1286">
        <f t="shared" si="20"/>
        <v>1.9E-2</v>
      </c>
      <c r="E71" s="823"/>
      <c r="F71" s="2499"/>
      <c r="G71" s="1284">
        <f t="shared" si="21"/>
        <v>1.9E-2</v>
      </c>
      <c r="H71" s="1288">
        <f t="shared" si="22"/>
        <v>1.9E-2</v>
      </c>
      <c r="I71" s="817">
        <v>0.3</v>
      </c>
      <c r="J71" s="1285">
        <f t="shared" si="23"/>
        <v>3.7999999999999999E-2</v>
      </c>
      <c r="K71" s="1285">
        <f t="shared" si="24"/>
        <v>1.9E-2</v>
      </c>
      <c r="L71" s="1285">
        <v>0</v>
      </c>
      <c r="M71" s="1285">
        <f t="shared" si="25"/>
        <v>-1.9E-2</v>
      </c>
      <c r="N71" s="1285">
        <f t="shared" si="25"/>
        <v>-3.7999999999999999E-2</v>
      </c>
      <c r="AA71" s="1371"/>
      <c r="AB71" s="1371"/>
      <c r="AC71" s="1371"/>
      <c r="AD71" s="1371"/>
      <c r="AE71" s="1371"/>
      <c r="AF71" s="1371"/>
      <c r="AG71" s="1371"/>
      <c r="AH71" s="1371"/>
      <c r="AI71" s="1371"/>
      <c r="AJ71" s="1371"/>
      <c r="AK71" s="1371"/>
    </row>
    <row r="72" spans="1:37" s="1370" customFormat="1" ht="25.5">
      <c r="A72" s="2874" t="s">
        <v>2946</v>
      </c>
      <c r="B72" s="2878" t="str">
        <f>估价对象房地状况!C19</f>
        <v>区域内多为住宅用地，对土地利用无不利影响。</v>
      </c>
      <c r="C72" s="2766" t="s">
        <v>3189</v>
      </c>
      <c r="D72" s="1286">
        <f t="shared" si="20"/>
        <v>5.0000000000000001E-3</v>
      </c>
      <c r="E72" s="823"/>
      <c r="F72" s="2499"/>
      <c r="G72" s="1284">
        <f t="shared" si="21"/>
        <v>5.0000000000000001E-3</v>
      </c>
      <c r="H72" s="1288">
        <f t="shared" si="22"/>
        <v>5.0000000000000001E-3</v>
      </c>
      <c r="I72" s="817">
        <v>0.08</v>
      </c>
      <c r="J72" s="1285">
        <f t="shared" si="23"/>
        <v>0.01</v>
      </c>
      <c r="K72" s="1285">
        <f t="shared" si="24"/>
        <v>5.0000000000000001E-3</v>
      </c>
      <c r="L72" s="1285">
        <v>0</v>
      </c>
      <c r="M72" s="1285">
        <f t="shared" si="25"/>
        <v>-5.0000000000000001E-3</v>
      </c>
      <c r="N72" s="1285">
        <f t="shared" si="25"/>
        <v>-0.01</v>
      </c>
      <c r="AA72" s="1371"/>
      <c r="AB72" s="1371"/>
      <c r="AC72" s="1371"/>
      <c r="AD72" s="1371"/>
      <c r="AE72" s="1371"/>
      <c r="AF72" s="1371"/>
      <c r="AG72" s="1371"/>
      <c r="AH72" s="1371"/>
      <c r="AI72" s="1371"/>
      <c r="AJ72" s="1371"/>
      <c r="AK72" s="1371"/>
    </row>
    <row r="73" spans="1:37" s="1370" customFormat="1" ht="14.25">
      <c r="A73" s="2874" t="s">
        <v>2960</v>
      </c>
      <c r="B73" s="2878" t="str">
        <f>估价对象房地状况!C24</f>
        <v>城市支路——沟自头街</v>
      </c>
      <c r="C73" s="2766" t="s">
        <v>3255</v>
      </c>
      <c r="D73" s="1286">
        <f t="shared" si="20"/>
        <v>-2.5000000000000001E-3</v>
      </c>
      <c r="E73" s="823"/>
      <c r="F73" s="2499"/>
      <c r="G73" s="1284">
        <f t="shared" si="21"/>
        <v>2.5000000000000001E-3</v>
      </c>
      <c r="H73" s="1288">
        <f t="shared" si="22"/>
        <v>2.5000000000000001E-3</v>
      </c>
      <c r="I73" s="817">
        <v>0.04</v>
      </c>
      <c r="J73" s="1285">
        <f t="shared" si="23"/>
        <v>5.0000000000000001E-3</v>
      </c>
      <c r="K73" s="1285">
        <f t="shared" si="24"/>
        <v>2.5000000000000001E-3</v>
      </c>
      <c r="L73" s="1285">
        <v>0</v>
      </c>
      <c r="M73" s="1285">
        <f t="shared" si="25"/>
        <v>-2.5000000000000001E-3</v>
      </c>
      <c r="N73" s="1285">
        <f t="shared" si="25"/>
        <v>-5.0000000000000001E-3</v>
      </c>
      <c r="AA73" s="1371"/>
      <c r="AB73" s="1371"/>
      <c r="AC73" s="1371"/>
      <c r="AD73" s="1371"/>
      <c r="AE73" s="1371"/>
      <c r="AF73" s="1371"/>
      <c r="AG73" s="1371"/>
      <c r="AH73" s="1371"/>
      <c r="AI73" s="1371"/>
      <c r="AJ73" s="1371"/>
      <c r="AK73" s="1371"/>
    </row>
    <row r="74" spans="1:37" s="1370" customFormat="1" ht="127.5">
      <c r="A74" s="2874" t="s">
        <v>2952</v>
      </c>
      <c r="B74" s="1725" t="str">
        <f>估价对象房地状况!C21</f>
        <v>估价对象所在区域2公里范围内有：银行（中国银行、北京农村商业银行），购物（物联隆超市、超市发超市）、医院（北七家社区卫生服务中心），学校（北京市晨星学校、伊顿双语幼儿园），餐饮等，公共配套设施齐备情况较好。</v>
      </c>
      <c r="C74" s="2766" t="s">
        <v>3189</v>
      </c>
      <c r="D74" s="1286">
        <f t="shared" si="20"/>
        <v>5.0000000000000001E-3</v>
      </c>
      <c r="E74" s="823"/>
      <c r="F74" s="2499"/>
      <c r="G74" s="1284">
        <f t="shared" si="21"/>
        <v>5.0000000000000001E-3</v>
      </c>
      <c r="H74" s="1288">
        <f t="shared" si="22"/>
        <v>5.0000000000000001E-3</v>
      </c>
      <c r="I74" s="817">
        <v>0.08</v>
      </c>
      <c r="J74" s="1285">
        <f t="shared" si="23"/>
        <v>0.01</v>
      </c>
      <c r="K74" s="1285">
        <f t="shared" si="24"/>
        <v>5.0000000000000001E-3</v>
      </c>
      <c r="L74" s="1285">
        <v>0</v>
      </c>
      <c r="M74" s="1285">
        <f t="shared" si="25"/>
        <v>-5.0000000000000001E-3</v>
      </c>
      <c r="N74" s="1285">
        <f t="shared" si="25"/>
        <v>-0.01</v>
      </c>
      <c r="AA74" s="1371"/>
      <c r="AB74" s="1371"/>
      <c r="AC74" s="1371"/>
      <c r="AD74" s="1371"/>
      <c r="AE74" s="1371"/>
      <c r="AF74" s="1371"/>
      <c r="AG74" s="1371"/>
      <c r="AH74" s="1371"/>
      <c r="AI74" s="1371"/>
      <c r="AJ74" s="1371"/>
      <c r="AK74" s="1371"/>
    </row>
    <row r="75" spans="1:37" s="1370" customFormat="1" ht="25.5">
      <c r="A75" s="2874" t="s">
        <v>2953</v>
      </c>
      <c r="B75" s="1725" t="str">
        <f>估价对象房地状况!C22</f>
        <v>估价对象所在区域基础设施水平达到“七通”。</v>
      </c>
      <c r="C75" s="2766" t="s">
        <v>3190</v>
      </c>
      <c r="D75" s="1286">
        <f t="shared" si="20"/>
        <v>1.52E-2</v>
      </c>
      <c r="E75" s="823"/>
      <c r="F75" s="2499"/>
      <c r="G75" s="1284">
        <f t="shared" si="21"/>
        <v>7.6E-3</v>
      </c>
      <c r="H75" s="1288">
        <f t="shared" si="22"/>
        <v>7.6E-3</v>
      </c>
      <c r="I75" s="817">
        <v>0.12</v>
      </c>
      <c r="J75" s="1285">
        <f t="shared" si="23"/>
        <v>1.52E-2</v>
      </c>
      <c r="K75" s="1285">
        <f t="shared" si="24"/>
        <v>7.6E-3</v>
      </c>
      <c r="L75" s="1285">
        <v>0</v>
      </c>
      <c r="M75" s="1285">
        <f t="shared" si="25"/>
        <v>-7.6E-3</v>
      </c>
      <c r="N75" s="1285">
        <f t="shared" si="25"/>
        <v>-1.52E-2</v>
      </c>
      <c r="AA75" s="1371"/>
      <c r="AB75" s="1371"/>
      <c r="AC75" s="1371"/>
      <c r="AD75" s="1371"/>
      <c r="AE75" s="1371"/>
      <c r="AF75" s="1371"/>
      <c r="AG75" s="1371"/>
      <c r="AH75" s="1371"/>
      <c r="AI75" s="1371"/>
      <c r="AJ75" s="1371"/>
      <c r="AK75" s="1371"/>
    </row>
    <row r="76" spans="1:37" s="2715" customFormat="1" ht="24">
      <c r="A76" s="2874" t="s">
        <v>2950</v>
      </c>
      <c r="B76" s="2880" t="s">
        <v>2951</v>
      </c>
      <c r="C76" s="2766" t="s">
        <v>3189</v>
      </c>
      <c r="D76" s="1286">
        <f t="shared" si="20"/>
        <v>3.0999999999999999E-3</v>
      </c>
      <c r="E76" s="823"/>
      <c r="F76" s="2499"/>
      <c r="G76" s="1284">
        <f t="shared" si="21"/>
        <v>3.0999999999999999E-3</v>
      </c>
      <c r="H76" s="1288">
        <f t="shared" si="22"/>
        <v>3.0999999999999999E-3</v>
      </c>
      <c r="I76" s="817">
        <v>0.05</v>
      </c>
      <c r="J76" s="1285">
        <f t="shared" si="23"/>
        <v>6.1999999999999998E-3</v>
      </c>
      <c r="K76" s="1285">
        <f t="shared" si="24"/>
        <v>3.0999999999999999E-3</v>
      </c>
      <c r="L76" s="1285">
        <v>0</v>
      </c>
      <c r="M76" s="1285">
        <f t="shared" si="25"/>
        <v>-3.0999999999999999E-3</v>
      </c>
      <c r="N76" s="1285">
        <f t="shared" si="25"/>
        <v>-6.1999999999999998E-3</v>
      </c>
      <c r="AA76" s="2885"/>
      <c r="AB76" s="1371"/>
      <c r="AC76" s="1371"/>
      <c r="AD76" s="1371"/>
      <c r="AE76" s="1371"/>
      <c r="AF76" s="1371"/>
      <c r="AG76" s="1371"/>
      <c r="AH76" s="2885"/>
      <c r="AI76" s="2885"/>
      <c r="AJ76" s="2885"/>
      <c r="AK76" s="2885"/>
    </row>
    <row r="77" spans="1:37" ht="51">
      <c r="A77" s="2874" t="s">
        <v>2954</v>
      </c>
      <c r="B77" s="2877" t="str">
        <f>估价对象房地状况!C20</f>
        <v>区域自然环境：未来科技城滨河公园；人文环境：无展览馆、博物馆等；综合评价环境状况一般。</v>
      </c>
      <c r="C77" s="2766" t="s">
        <v>3192</v>
      </c>
      <c r="D77" s="1286">
        <f t="shared" si="20"/>
        <v>0</v>
      </c>
      <c r="E77" s="823"/>
      <c r="F77" s="2499"/>
      <c r="G77" s="1284">
        <f t="shared" si="21"/>
        <v>9.4999999999999998E-3</v>
      </c>
      <c r="H77" s="1288">
        <f t="shared" si="22"/>
        <v>9.4999999999999998E-3</v>
      </c>
      <c r="I77" s="817">
        <v>0.15</v>
      </c>
      <c r="J77" s="1285">
        <f t="shared" si="23"/>
        <v>1.9E-2</v>
      </c>
      <c r="K77" s="1285">
        <f t="shared" si="24"/>
        <v>9.4999999999999998E-3</v>
      </c>
      <c r="L77" s="1285">
        <v>0</v>
      </c>
      <c r="M77" s="1285">
        <f t="shared" si="25"/>
        <v>-9.4999999999999998E-3</v>
      </c>
      <c r="N77" s="1285">
        <f t="shared" si="25"/>
        <v>-1.9E-2</v>
      </c>
      <c r="Z77" s="2716"/>
      <c r="AA77" s="2792"/>
      <c r="AG77" s="1372"/>
      <c r="AK77" s="2792"/>
    </row>
    <row r="78" spans="1:37" ht="24.75" thickBot="1">
      <c r="A78" s="2882" t="s">
        <v>2961</v>
      </c>
      <c r="B78" s="2886"/>
      <c r="C78" s="2766" t="s">
        <v>3192</v>
      </c>
      <c r="D78" s="1286">
        <f t="shared" si="20"/>
        <v>0</v>
      </c>
      <c r="E78" s="824"/>
      <c r="F78" s="2499"/>
      <c r="G78" s="1284">
        <f t="shared" si="21"/>
        <v>2.5000000000000001E-3</v>
      </c>
      <c r="H78" s="1288">
        <f t="shared" si="22"/>
        <v>2.5000000000000001E-3</v>
      </c>
      <c r="I78" s="821">
        <v>0.04</v>
      </c>
      <c r="J78" s="1285">
        <f t="shared" si="23"/>
        <v>5.0000000000000001E-3</v>
      </c>
      <c r="K78" s="1285">
        <f t="shared" si="24"/>
        <v>2.5000000000000001E-3</v>
      </c>
      <c r="L78" s="1285">
        <v>0</v>
      </c>
      <c r="M78" s="1285">
        <f t="shared" si="25"/>
        <v>-2.5000000000000001E-3</v>
      </c>
      <c r="N78" s="1285">
        <f t="shared" si="25"/>
        <v>-5.0000000000000001E-3</v>
      </c>
      <c r="Z78" s="2716"/>
      <c r="AA78" s="2792"/>
      <c r="AG78" s="1372"/>
      <c r="AK78" s="2792"/>
    </row>
    <row r="79" spans="1:37" ht="15">
      <c r="A79" s="2870" t="s">
        <v>2962</v>
      </c>
      <c r="B79" s="2871">
        <f>1+E81</f>
        <v>1</v>
      </c>
      <c r="C79" s="811"/>
      <c r="D79" s="811"/>
      <c r="E79" s="812"/>
      <c r="F79" s="2873"/>
      <c r="G79" s="6"/>
      <c r="H79" s="6"/>
      <c r="I79" s="6"/>
      <c r="J79" s="7"/>
      <c r="K79" s="7"/>
      <c r="L79" s="7"/>
      <c r="M79" s="7"/>
      <c r="N79" s="7"/>
      <c r="Z79" s="2716"/>
      <c r="AA79" s="2792"/>
      <c r="AG79" s="1372"/>
      <c r="AK79" s="2792"/>
    </row>
    <row r="80" spans="1:37" ht="24.75">
      <c r="A80" s="2874" t="s">
        <v>2936</v>
      </c>
      <c r="B80" s="1809"/>
      <c r="C80" s="1809" t="s">
        <v>2938</v>
      </c>
      <c r="D80" s="1809" t="s">
        <v>2939</v>
      </c>
      <c r="E80" s="816" t="s">
        <v>2940</v>
      </c>
      <c r="F80" s="2875" t="s">
        <v>2956</v>
      </c>
      <c r="G80" s="1809" t="s">
        <v>754</v>
      </c>
      <c r="H80" s="2876" t="s">
        <v>2942</v>
      </c>
      <c r="I80" s="1809" t="s">
        <v>2943</v>
      </c>
      <c r="J80" s="603" t="s">
        <v>2592</v>
      </c>
      <c r="K80" s="603" t="s">
        <v>2593</v>
      </c>
      <c r="L80" s="603" t="s">
        <v>2594</v>
      </c>
      <c r="M80" s="603" t="s">
        <v>2595</v>
      </c>
      <c r="N80" s="603" t="s">
        <v>2596</v>
      </c>
      <c r="Z80" s="2716"/>
      <c r="AA80" s="2792"/>
      <c r="AG80" s="1372"/>
      <c r="AK80" s="2792"/>
    </row>
    <row r="81" spans="1:37" ht="38.25">
      <c r="A81" s="2874" t="s">
        <v>2963</v>
      </c>
      <c r="B81" s="2878" t="str">
        <f>估价对象房地状况!G15</f>
        <v>估价对象位于XX开发区，园区建设成熟度XX，产业集聚程度XX</v>
      </c>
      <c r="C81" s="2766"/>
      <c r="D81" s="1286">
        <f t="shared" ref="D81:D88" si="26">SUMIF($J$80:$N$80,C81,J81:N81)</f>
        <v>0</v>
      </c>
      <c r="E81" s="818">
        <f>ROUND(SUM(D81:D88),4)</f>
        <v>0</v>
      </c>
      <c r="F81" s="2499" t="str">
        <f>IF(E2="工业",SUMIF(L1:L12,G2,N1:N12),"——")</f>
        <v>——</v>
      </c>
      <c r="G81" s="1284"/>
      <c r="H81" s="1288" t="str">
        <f t="shared" ref="H81:H88" si="27">IFERROR(ROUNDDOWN($F$81*I81/2,4),"——")</f>
        <v>——</v>
      </c>
      <c r="I81" s="817">
        <v>0.26</v>
      </c>
      <c r="J81" s="1285">
        <f t="shared" ref="J81:J88" si="28">K81+$G81</f>
        <v>0</v>
      </c>
      <c r="K81" s="1285">
        <f t="shared" ref="K81:K88" si="29">$L81+$G81</f>
        <v>0</v>
      </c>
      <c r="L81" s="1285">
        <v>0</v>
      </c>
      <c r="M81" s="1285">
        <f t="shared" ref="M81:N88" si="30">L81-$G81</f>
        <v>0</v>
      </c>
      <c r="N81" s="1285">
        <f t="shared" si="30"/>
        <v>0</v>
      </c>
      <c r="Z81" s="2716"/>
      <c r="AA81" s="2792"/>
      <c r="AG81" s="1372"/>
      <c r="AK81" s="2792"/>
    </row>
    <row r="82" spans="1:37" ht="51">
      <c r="A82" s="2874" t="s">
        <v>2945</v>
      </c>
      <c r="B82" s="2878" t="str">
        <f>估价对象房地状况!G16</f>
        <v>估价对象周边道路状况、公共交通通达情况、停车便捷程度，综合评价交通便捷度较好</v>
      </c>
      <c r="C82" s="2766"/>
      <c r="D82" s="1286">
        <f t="shared" si="26"/>
        <v>0</v>
      </c>
      <c r="E82" s="823"/>
      <c r="F82" s="2499"/>
      <c r="G82" s="1284"/>
      <c r="H82" s="1288" t="str">
        <f t="shared" si="27"/>
        <v>——</v>
      </c>
      <c r="I82" s="817">
        <v>0.33</v>
      </c>
      <c r="J82" s="1285">
        <f t="shared" si="28"/>
        <v>0</v>
      </c>
      <c r="K82" s="1285">
        <f t="shared" si="29"/>
        <v>0</v>
      </c>
      <c r="L82" s="1285">
        <v>0</v>
      </c>
      <c r="M82" s="1285">
        <f t="shared" si="30"/>
        <v>0</v>
      </c>
      <c r="N82" s="1285">
        <f t="shared" si="30"/>
        <v>0</v>
      </c>
      <c r="Z82" s="2716"/>
      <c r="AA82" s="2792"/>
      <c r="AG82" s="1372"/>
      <c r="AK82" s="2792"/>
    </row>
    <row r="83" spans="1:37" ht="24">
      <c r="A83" s="2874" t="s">
        <v>2946</v>
      </c>
      <c r="B83" s="2878">
        <f>估价对象房地状况!G17</f>
        <v>0</v>
      </c>
      <c r="C83" s="2766"/>
      <c r="D83" s="1286">
        <f t="shared" si="26"/>
        <v>0</v>
      </c>
      <c r="E83" s="823"/>
      <c r="F83" s="2499"/>
      <c r="G83" s="1284"/>
      <c r="H83" s="1288" t="str">
        <f t="shared" si="27"/>
        <v>——</v>
      </c>
      <c r="I83" s="817">
        <v>0.05</v>
      </c>
      <c r="J83" s="1285">
        <f t="shared" si="28"/>
        <v>0</v>
      </c>
      <c r="K83" s="1285">
        <f t="shared" si="29"/>
        <v>0</v>
      </c>
      <c r="L83" s="1285">
        <v>0</v>
      </c>
      <c r="M83" s="1285">
        <f t="shared" si="30"/>
        <v>0</v>
      </c>
      <c r="N83" s="1285">
        <f t="shared" si="30"/>
        <v>0</v>
      </c>
      <c r="Z83" s="2716"/>
      <c r="AA83" s="2792"/>
      <c r="AG83" s="1372"/>
      <c r="AK83" s="2792"/>
    </row>
    <row r="84" spans="1:37" ht="14.25">
      <c r="A84" s="2874" t="s">
        <v>2960</v>
      </c>
      <c r="B84" s="2878">
        <f>估价对象房地状况!G22</f>
        <v>0</v>
      </c>
      <c r="C84" s="2766"/>
      <c r="D84" s="1286">
        <f t="shared" si="26"/>
        <v>0</v>
      </c>
      <c r="E84" s="823"/>
      <c r="F84" s="2499"/>
      <c r="G84" s="1284"/>
      <c r="H84" s="1288" t="str">
        <f t="shared" si="27"/>
        <v>——</v>
      </c>
      <c r="I84" s="817">
        <v>0.04</v>
      </c>
      <c r="J84" s="1285">
        <f t="shared" si="28"/>
        <v>0</v>
      </c>
      <c r="K84" s="1285">
        <f t="shared" si="29"/>
        <v>0</v>
      </c>
      <c r="L84" s="1285">
        <v>0</v>
      </c>
      <c r="M84" s="1285">
        <f t="shared" si="30"/>
        <v>0</v>
      </c>
      <c r="N84" s="1285">
        <f t="shared" si="30"/>
        <v>0</v>
      </c>
      <c r="Z84" s="2716"/>
      <c r="AA84" s="2792"/>
      <c r="AG84" s="1372"/>
      <c r="AK84" s="2792"/>
    </row>
    <row r="85" spans="1:37" ht="25.5">
      <c r="A85" s="2874" t="s">
        <v>2952</v>
      </c>
      <c r="B85" s="1725" t="str">
        <f>估价对象房地状况!G19</f>
        <v>估价对象所在区域公共配套设施齐备情况</v>
      </c>
      <c r="C85" s="2766"/>
      <c r="D85" s="1286">
        <f t="shared" si="26"/>
        <v>0</v>
      </c>
      <c r="E85" s="823"/>
      <c r="F85" s="2499"/>
      <c r="G85" s="1284"/>
      <c r="H85" s="1288" t="str">
        <f t="shared" si="27"/>
        <v>——</v>
      </c>
      <c r="I85" s="817">
        <v>0.06</v>
      </c>
      <c r="J85" s="1285">
        <f t="shared" si="28"/>
        <v>0</v>
      </c>
      <c r="K85" s="1285">
        <f t="shared" si="29"/>
        <v>0</v>
      </c>
      <c r="L85" s="1285">
        <v>0</v>
      </c>
      <c r="M85" s="1285">
        <f t="shared" si="30"/>
        <v>0</v>
      </c>
      <c r="N85" s="1285">
        <f t="shared" si="30"/>
        <v>0</v>
      </c>
      <c r="Z85" s="2716"/>
      <c r="AA85" s="2792"/>
      <c r="AG85" s="1372"/>
      <c r="AK85" s="2792"/>
    </row>
    <row r="86" spans="1:37" ht="25.5">
      <c r="A86" s="2874" t="s">
        <v>2953</v>
      </c>
      <c r="B86" s="1725" t="str">
        <f>估价对象房地状况!G20</f>
        <v>估价对象所在区域基础设施水平</v>
      </c>
      <c r="C86" s="2766"/>
      <c r="D86" s="1286">
        <f t="shared" si="26"/>
        <v>0</v>
      </c>
      <c r="E86" s="823"/>
      <c r="F86" s="2499"/>
      <c r="G86" s="1284"/>
      <c r="H86" s="1288" t="str">
        <f t="shared" si="27"/>
        <v>——</v>
      </c>
      <c r="I86" s="817">
        <v>0.15</v>
      </c>
      <c r="J86" s="1285">
        <f t="shared" si="28"/>
        <v>0</v>
      </c>
      <c r="K86" s="1285">
        <f t="shared" si="29"/>
        <v>0</v>
      </c>
      <c r="L86" s="1285">
        <v>0</v>
      </c>
      <c r="M86" s="1285">
        <f t="shared" si="30"/>
        <v>0</v>
      </c>
      <c r="N86" s="1285">
        <f t="shared" si="30"/>
        <v>0</v>
      </c>
      <c r="Z86" s="2716"/>
      <c r="AA86" s="2792"/>
      <c r="AG86" s="1372"/>
      <c r="AK86" s="2792"/>
    </row>
    <row r="87" spans="1:37" ht="24">
      <c r="A87" s="2874" t="s">
        <v>2950</v>
      </c>
      <c r="B87" s="2880" t="s">
        <v>2964</v>
      </c>
      <c r="C87" s="2766"/>
      <c r="D87" s="1286">
        <f t="shared" si="26"/>
        <v>0</v>
      </c>
      <c r="E87" s="823"/>
      <c r="F87" s="2499"/>
      <c r="G87" s="1284"/>
      <c r="H87" s="1288" t="str">
        <f t="shared" si="27"/>
        <v>——</v>
      </c>
      <c r="I87" s="817">
        <v>0.05</v>
      </c>
      <c r="J87" s="1285">
        <f t="shared" si="28"/>
        <v>0</v>
      </c>
      <c r="K87" s="1285">
        <f t="shared" si="29"/>
        <v>0</v>
      </c>
      <c r="L87" s="1285">
        <v>0</v>
      </c>
      <c r="M87" s="1285">
        <f t="shared" si="30"/>
        <v>0</v>
      </c>
      <c r="N87" s="1285">
        <f t="shared" si="30"/>
        <v>0</v>
      </c>
      <c r="Z87" s="2716"/>
      <c r="AA87" s="2792"/>
      <c r="AG87" s="1372"/>
      <c r="AK87" s="2792"/>
    </row>
    <row r="88" spans="1:37" ht="39" thickBot="1">
      <c r="A88" s="2882" t="s">
        <v>2965</v>
      </c>
      <c r="B88" s="2887" t="str">
        <f>估价对象房地状况!G18</f>
        <v>该园区内是否有污染型企业，绿化情况，卫生条件，整体环境状况判断</v>
      </c>
      <c r="C88" s="2766"/>
      <c r="D88" s="1286">
        <f t="shared" si="26"/>
        <v>0</v>
      </c>
      <c r="E88" s="824"/>
      <c r="F88" s="2499"/>
      <c r="G88" s="1284"/>
      <c r="H88" s="1288" t="str">
        <f t="shared" si="27"/>
        <v>——</v>
      </c>
      <c r="I88" s="821">
        <v>0.06</v>
      </c>
      <c r="J88" s="1285">
        <f t="shared" si="28"/>
        <v>0</v>
      </c>
      <c r="K88" s="1285">
        <f t="shared" si="29"/>
        <v>0</v>
      </c>
      <c r="L88" s="1285">
        <v>0</v>
      </c>
      <c r="M88" s="1285">
        <f t="shared" si="30"/>
        <v>0</v>
      </c>
      <c r="N88" s="1285">
        <f t="shared" si="30"/>
        <v>0</v>
      </c>
      <c r="Z88" s="2716"/>
      <c r="AA88" s="2792"/>
      <c r="AG88" s="1372"/>
      <c r="AK88" s="2792"/>
    </row>
    <row r="90" spans="1:37">
      <c r="A90" s="3367" t="s">
        <v>2966</v>
      </c>
      <c r="B90" s="3367"/>
      <c r="C90" s="3367"/>
      <c r="D90" s="3367"/>
      <c r="E90" s="3367"/>
      <c r="F90" s="3367"/>
      <c r="G90" s="3367"/>
      <c r="H90" s="3367"/>
      <c r="I90" s="3367"/>
      <c r="J90" s="3367"/>
      <c r="K90" s="2888"/>
      <c r="L90" s="2888"/>
      <c r="M90" s="2888"/>
      <c r="N90" s="2888"/>
    </row>
    <row r="91" spans="1:37">
      <c r="A91" s="3369" t="s">
        <v>2967</v>
      </c>
      <c r="B91" s="3369" t="s">
        <v>2968</v>
      </c>
      <c r="C91" s="2842" t="s">
        <v>2969</v>
      </c>
      <c r="D91" s="2843"/>
      <c r="E91" s="2843"/>
      <c r="F91" s="2843"/>
      <c r="G91" s="2843"/>
      <c r="H91" s="2843"/>
      <c r="I91" s="2843"/>
      <c r="J91" s="2889"/>
      <c r="K91" s="2890"/>
      <c r="L91" s="2890"/>
      <c r="M91" s="2890"/>
      <c r="N91" s="2890"/>
    </row>
    <row r="92" spans="1:37">
      <c r="A92" s="3369"/>
      <c r="B92" s="3369"/>
      <c r="C92" s="942" t="s">
        <v>2835</v>
      </c>
      <c r="D92" s="942" t="s">
        <v>2836</v>
      </c>
      <c r="E92" s="942" t="s">
        <v>2837</v>
      </c>
      <c r="F92" s="942" t="s">
        <v>2838</v>
      </c>
      <c r="G92" s="942" t="s">
        <v>2839</v>
      </c>
      <c r="H92" s="942" t="s">
        <v>2840</v>
      </c>
      <c r="I92" s="942" t="s">
        <v>2841</v>
      </c>
      <c r="J92" s="942" t="s">
        <v>2842</v>
      </c>
      <c r="K92" s="942" t="s">
        <v>2843</v>
      </c>
      <c r="L92" s="942" t="s">
        <v>2844</v>
      </c>
      <c r="M92" s="942" t="s">
        <v>2845</v>
      </c>
      <c r="N92" s="942" t="s">
        <v>2846</v>
      </c>
    </row>
    <row r="93" spans="1:37">
      <c r="A93" s="3370" t="s">
        <v>2970</v>
      </c>
      <c r="B93" s="2891">
        <v>1</v>
      </c>
      <c r="C93" s="2892">
        <v>1.9361999999999999</v>
      </c>
      <c r="D93" s="2892">
        <v>1.9361999999999999</v>
      </c>
      <c r="E93" s="2892">
        <v>1.8629</v>
      </c>
      <c r="F93" s="2892">
        <v>1.8629</v>
      </c>
      <c r="G93" s="2892">
        <v>1.8629</v>
      </c>
      <c r="H93" s="2892">
        <v>1.8629</v>
      </c>
      <c r="I93" s="2892">
        <v>1.8629</v>
      </c>
      <c r="J93" s="2892">
        <v>1.9419999999999999</v>
      </c>
      <c r="K93" s="2892">
        <v>1.9419999999999999</v>
      </c>
      <c r="L93" s="2892">
        <v>1.9419999999999999</v>
      </c>
      <c r="M93" s="2892">
        <v>1.9419999999999999</v>
      </c>
      <c r="N93" s="2892">
        <v>1.9419999999999999</v>
      </c>
    </row>
    <row r="94" spans="1:37">
      <c r="A94" s="3371"/>
      <c r="B94" s="2891">
        <v>2</v>
      </c>
      <c r="C94" s="2892">
        <v>1.4198</v>
      </c>
      <c r="D94" s="2892">
        <v>1.4198</v>
      </c>
      <c r="E94" s="2892">
        <v>1.3371999999999999</v>
      </c>
      <c r="F94" s="2892">
        <v>1.3371999999999999</v>
      </c>
      <c r="G94" s="2892">
        <v>1.3371999999999999</v>
      </c>
      <c r="H94" s="2892">
        <v>1.3371999999999999</v>
      </c>
      <c r="I94" s="2892">
        <v>1.3371999999999999</v>
      </c>
      <c r="J94" s="2892">
        <v>1.2799</v>
      </c>
      <c r="K94" s="2892">
        <v>1.2799</v>
      </c>
      <c r="L94" s="2892">
        <v>1.2799</v>
      </c>
      <c r="M94" s="2892">
        <v>1.2799</v>
      </c>
      <c r="N94" s="2892">
        <v>1.2799</v>
      </c>
    </row>
    <row r="95" spans="1:37">
      <c r="A95" s="3371"/>
      <c r="B95" s="2891">
        <v>3</v>
      </c>
      <c r="C95" s="2892">
        <v>1.1594</v>
      </c>
      <c r="D95" s="2892">
        <v>1.1594</v>
      </c>
      <c r="E95" s="2892">
        <v>1.0788</v>
      </c>
      <c r="F95" s="2892">
        <v>1.0788</v>
      </c>
      <c r="G95" s="2892">
        <v>1.0788</v>
      </c>
      <c r="H95" s="2892">
        <v>1.0788</v>
      </c>
      <c r="I95" s="2892">
        <v>1.0788</v>
      </c>
      <c r="J95" s="2892">
        <v>1.0072000000000001</v>
      </c>
      <c r="K95" s="2892">
        <v>1.0072000000000001</v>
      </c>
      <c r="L95" s="2892">
        <v>1.0072000000000001</v>
      </c>
      <c r="M95" s="2892">
        <v>1.0072000000000001</v>
      </c>
      <c r="N95" s="2892">
        <v>1.0072000000000001</v>
      </c>
    </row>
    <row r="96" spans="1:37">
      <c r="A96" s="3371"/>
      <c r="B96" s="2891">
        <v>4</v>
      </c>
      <c r="C96" s="2892">
        <v>0.96220000000000006</v>
      </c>
      <c r="D96" s="2892">
        <v>0.96220000000000006</v>
      </c>
      <c r="E96" s="2892">
        <v>0.86560000000000004</v>
      </c>
      <c r="F96" s="2892">
        <v>0.86560000000000004</v>
      </c>
      <c r="G96" s="2892">
        <v>0.86560000000000004</v>
      </c>
      <c r="H96" s="2892">
        <v>0.86560000000000004</v>
      </c>
      <c r="I96" s="2892">
        <v>0.86560000000000004</v>
      </c>
      <c r="J96" s="2892">
        <v>0.75249999999999995</v>
      </c>
      <c r="K96" s="2892">
        <v>0.75249999999999995</v>
      </c>
      <c r="L96" s="2892">
        <v>0.75249999999999995</v>
      </c>
      <c r="M96" s="2892">
        <v>0.75249999999999995</v>
      </c>
      <c r="N96" s="2892">
        <v>0.75249999999999995</v>
      </c>
    </row>
    <row r="97" spans="1:14">
      <c r="A97" s="3371"/>
      <c r="B97" s="2891">
        <v>5</v>
      </c>
      <c r="C97" s="2892">
        <v>0.8417</v>
      </c>
      <c r="D97" s="2892">
        <v>0.8417</v>
      </c>
      <c r="E97" s="2892">
        <v>0.73709999999999998</v>
      </c>
      <c r="F97" s="2892">
        <v>0.73709999999999998</v>
      </c>
      <c r="G97" s="2892">
        <v>0.73709999999999998</v>
      </c>
      <c r="H97" s="2892">
        <v>0.73709999999999998</v>
      </c>
      <c r="I97" s="2892">
        <v>0.73709999999999998</v>
      </c>
      <c r="J97" s="2892">
        <v>0.56589999999999996</v>
      </c>
      <c r="K97" s="2892">
        <v>0.56589999999999996</v>
      </c>
      <c r="L97" s="2892">
        <v>0.56589999999999996</v>
      </c>
      <c r="M97" s="2892">
        <v>0.56589999999999996</v>
      </c>
      <c r="N97" s="2892">
        <v>0.56589999999999996</v>
      </c>
    </row>
    <row r="98" spans="1:14">
      <c r="A98" s="3371"/>
      <c r="B98" s="2891">
        <v>6</v>
      </c>
      <c r="C98" s="2892">
        <v>0.76080000000000003</v>
      </c>
      <c r="D98" s="2892">
        <v>0.76080000000000003</v>
      </c>
      <c r="E98" s="2892">
        <v>0.6482</v>
      </c>
      <c r="F98" s="2892">
        <v>0.6482</v>
      </c>
      <c r="G98" s="2892">
        <v>0.6482</v>
      </c>
      <c r="H98" s="2892">
        <v>0.6482</v>
      </c>
      <c r="I98" s="2892">
        <v>0.6482</v>
      </c>
      <c r="J98" s="2892">
        <v>0.45250000000000001</v>
      </c>
      <c r="K98" s="2892">
        <v>0.45250000000000001</v>
      </c>
      <c r="L98" s="2892">
        <v>0.45250000000000001</v>
      </c>
      <c r="M98" s="2892">
        <v>0.45250000000000001</v>
      </c>
      <c r="N98" s="2892">
        <v>0.45250000000000001</v>
      </c>
    </row>
    <row r="99" spans="1:14">
      <c r="A99" s="3371"/>
      <c r="B99" s="2891" t="s">
        <v>2851</v>
      </c>
      <c r="C99" s="2893">
        <f>$I$3</f>
        <v>0</v>
      </c>
      <c r="D99" s="2893">
        <f t="shared" ref="D99:M99" si="31">$I$3</f>
        <v>0</v>
      </c>
      <c r="E99" s="2893">
        <f t="shared" si="31"/>
        <v>0</v>
      </c>
      <c r="F99" s="2893">
        <f t="shared" si="31"/>
        <v>0</v>
      </c>
      <c r="G99" s="2893">
        <f t="shared" si="31"/>
        <v>0</v>
      </c>
      <c r="H99" s="2893">
        <f t="shared" si="31"/>
        <v>0</v>
      </c>
      <c r="I99" s="2893">
        <f t="shared" si="31"/>
        <v>0</v>
      </c>
      <c r="J99" s="2893">
        <f t="shared" si="31"/>
        <v>0</v>
      </c>
      <c r="K99" s="2893">
        <f t="shared" si="31"/>
        <v>0</v>
      </c>
      <c r="L99" s="2893">
        <f t="shared" si="31"/>
        <v>0</v>
      </c>
      <c r="M99" s="2893">
        <f t="shared" si="31"/>
        <v>0</v>
      </c>
      <c r="N99" s="2893">
        <f>$I$3</f>
        <v>0</v>
      </c>
    </row>
    <row r="100" spans="1:14">
      <c r="A100" s="3372"/>
      <c r="B100" s="2891">
        <v>7</v>
      </c>
      <c r="C100" s="2894">
        <f>(-0.163*(C99^2)-0.59*C99+7617)*(10^(-4))</f>
        <v>0.76170000000000004</v>
      </c>
      <c r="D100" s="2894">
        <f>(-0.163*(D99^2)-0.59*D99+7617)*(10^(-4))</f>
        <v>0.76170000000000004</v>
      </c>
      <c r="E100" s="2894">
        <f>(-0.161*(E99^2)-7.509*E99+6533)*(10^(-4))</f>
        <v>0.65329999999999999</v>
      </c>
      <c r="F100" s="2894">
        <f>(-0.161*(F99^2)-7.509*F99+6533)*(10^(-4))</f>
        <v>0.65329999999999999</v>
      </c>
      <c r="G100" s="2894">
        <f>(-0.161*(G99^2)-7.509*G99+6533)*(10^(-4))</f>
        <v>0.65329999999999999</v>
      </c>
      <c r="H100" s="2894">
        <f>(-0.161*(H99^2)-7.509*H99+6533)*(10^(-4))</f>
        <v>0.65329999999999999</v>
      </c>
      <c r="I100" s="2894">
        <f>(-0.161*(I99^2)-7.509*I99+6533)*(10^(-4))</f>
        <v>0.65329999999999999</v>
      </c>
      <c r="J100" s="2894">
        <f>(-0.214*(J99^2)-21.991*J99+4665)*(10^(-4))</f>
        <v>0.46650000000000003</v>
      </c>
      <c r="K100" s="2894">
        <f>(-0.214*(K99^2)-21.991*K99+4665)*(10^(-4))</f>
        <v>0.46650000000000003</v>
      </c>
      <c r="L100" s="2894">
        <f>(-0.214*(L99^2)-21.991*L99+4665)*(10^(-4))</f>
        <v>0.46650000000000003</v>
      </c>
      <c r="M100" s="2894">
        <f>(-0.214*(M99^2)-21.991*M99+4665)*(10^(-4))</f>
        <v>0.46650000000000003</v>
      </c>
      <c r="N100" s="2894">
        <f>(-0.214*(N99^2)-21.991*N99+4665)*(10^(-4))</f>
        <v>0.46650000000000003</v>
      </c>
    </row>
    <row r="101" spans="1:14">
      <c r="A101" s="3370" t="s">
        <v>2971</v>
      </c>
      <c r="B101" s="2895" t="s">
        <v>2972</v>
      </c>
      <c r="C101" s="2896">
        <f>$G$3</f>
        <v>1.48</v>
      </c>
      <c r="D101" s="2896">
        <f t="shared" ref="D101:N101" si="32">$G$3</f>
        <v>1.48</v>
      </c>
      <c r="E101" s="2896">
        <f t="shared" si="32"/>
        <v>1.48</v>
      </c>
      <c r="F101" s="2896">
        <f t="shared" si="32"/>
        <v>1.48</v>
      </c>
      <c r="G101" s="2896">
        <f t="shared" si="32"/>
        <v>1.48</v>
      </c>
      <c r="H101" s="2896">
        <f t="shared" si="32"/>
        <v>1.48</v>
      </c>
      <c r="I101" s="2896">
        <f t="shared" si="32"/>
        <v>1.48</v>
      </c>
      <c r="J101" s="2896">
        <f t="shared" si="32"/>
        <v>1.48</v>
      </c>
      <c r="K101" s="2896">
        <f t="shared" si="32"/>
        <v>1.48</v>
      </c>
      <c r="L101" s="2896">
        <f t="shared" si="32"/>
        <v>1.48</v>
      </c>
      <c r="M101" s="2896">
        <f t="shared" si="32"/>
        <v>1.48</v>
      </c>
      <c r="N101" s="2896">
        <f t="shared" si="32"/>
        <v>1.48</v>
      </c>
    </row>
    <row r="102" spans="1:14">
      <c r="A102" s="3371"/>
      <c r="B102" s="2891">
        <v>1</v>
      </c>
      <c r="C102" s="2892">
        <f>1.9362/C101</f>
        <v>1.3082432432432431</v>
      </c>
      <c r="D102" s="2892">
        <f>1.9362/D101</f>
        <v>1.3082432432432431</v>
      </c>
      <c r="E102" s="2892">
        <f>1.8629/E101</f>
        <v>1.2587162162162162</v>
      </c>
      <c r="F102" s="2892">
        <f>1.8629/F101</f>
        <v>1.2587162162162162</v>
      </c>
      <c r="G102" s="2892">
        <f>1.8629/G101</f>
        <v>1.2587162162162162</v>
      </c>
      <c r="H102" s="2892">
        <f>1.8629/H101</f>
        <v>1.2587162162162162</v>
      </c>
      <c r="I102" s="2892">
        <f>1.8629/I101</f>
        <v>1.2587162162162162</v>
      </c>
      <c r="J102" s="2892">
        <f>1.942/J101</f>
        <v>1.3121621621621622</v>
      </c>
      <c r="K102" s="2892">
        <f>1.942/K101</f>
        <v>1.3121621621621622</v>
      </c>
      <c r="L102" s="2892">
        <f>1.942/L101</f>
        <v>1.3121621621621622</v>
      </c>
      <c r="M102" s="2892">
        <f>1.942/M101</f>
        <v>1.3121621621621622</v>
      </c>
      <c r="N102" s="2892">
        <f>1.942/N101</f>
        <v>1.3121621621621622</v>
      </c>
    </row>
    <row r="103" spans="1:14">
      <c r="A103" s="3371"/>
      <c r="B103" s="2891">
        <v>2</v>
      </c>
      <c r="C103" s="2892">
        <f>1.4198/C101</f>
        <v>0.95932432432432435</v>
      </c>
      <c r="D103" s="2892">
        <f>1.4198/D101</f>
        <v>0.95932432432432435</v>
      </c>
      <c r="E103" s="2892">
        <f>1.3372/E101</f>
        <v>0.9035135135135135</v>
      </c>
      <c r="F103" s="2892">
        <f>1.3372/F101</f>
        <v>0.9035135135135135</v>
      </c>
      <c r="G103" s="2892">
        <f>1.3372/G101</f>
        <v>0.9035135135135135</v>
      </c>
      <c r="H103" s="2892">
        <f>1.3372/H101</f>
        <v>0.9035135135135135</v>
      </c>
      <c r="I103" s="2892">
        <f>1.3372/I101</f>
        <v>0.9035135135135135</v>
      </c>
      <c r="J103" s="2892">
        <f>1.2799/J101</f>
        <v>0.86479729729729737</v>
      </c>
      <c r="K103" s="2892">
        <f>1.2799/K101</f>
        <v>0.86479729729729737</v>
      </c>
      <c r="L103" s="2892">
        <f>1.2799/L101</f>
        <v>0.86479729729729737</v>
      </c>
      <c r="M103" s="2892">
        <f>1.2799/M101</f>
        <v>0.86479729729729737</v>
      </c>
      <c r="N103" s="2892">
        <f>1.2799/N101</f>
        <v>0.86479729729729737</v>
      </c>
    </row>
    <row r="104" spans="1:14">
      <c r="A104" s="3371"/>
      <c r="B104" s="2891">
        <v>3</v>
      </c>
      <c r="C104" s="2892">
        <f>1.1594/C101</f>
        <v>0.78337837837837843</v>
      </c>
      <c r="D104" s="2892">
        <f>1.1594/D101</f>
        <v>0.78337837837837843</v>
      </c>
      <c r="E104" s="2892">
        <f>1.0788/E101</f>
        <v>0.72891891891891891</v>
      </c>
      <c r="F104" s="2892">
        <f>1.0788/F101</f>
        <v>0.72891891891891891</v>
      </c>
      <c r="G104" s="2892">
        <f>1.0788/G101</f>
        <v>0.72891891891891891</v>
      </c>
      <c r="H104" s="2892">
        <f>1.0788/H101</f>
        <v>0.72891891891891891</v>
      </c>
      <c r="I104" s="2892">
        <f>1.0788/I101</f>
        <v>0.72891891891891891</v>
      </c>
      <c r="J104" s="2892">
        <f>1.0072/J101</f>
        <v>0.68054054054054058</v>
      </c>
      <c r="K104" s="2892">
        <f>1.0072/K101</f>
        <v>0.68054054054054058</v>
      </c>
      <c r="L104" s="2892">
        <f>1.0072/L101</f>
        <v>0.68054054054054058</v>
      </c>
      <c r="M104" s="2892">
        <f>1.0072/M101</f>
        <v>0.68054054054054058</v>
      </c>
      <c r="N104" s="2892">
        <f>1.0072/N101</f>
        <v>0.68054054054054058</v>
      </c>
    </row>
    <row r="105" spans="1:14">
      <c r="A105" s="3371"/>
      <c r="B105" s="2891">
        <v>4</v>
      </c>
      <c r="C105" s="2892">
        <f>0.9622/C101</f>
        <v>0.65013513513513521</v>
      </c>
      <c r="D105" s="2892">
        <f>0.9622/D101</f>
        <v>0.65013513513513521</v>
      </c>
      <c r="E105" s="2892">
        <f>0.8656/E101</f>
        <v>0.58486486486486489</v>
      </c>
      <c r="F105" s="2892">
        <f>0.8656/F101</f>
        <v>0.58486486486486489</v>
      </c>
      <c r="G105" s="2892">
        <f>0.8656/G101</f>
        <v>0.58486486486486489</v>
      </c>
      <c r="H105" s="2892">
        <f>0.8656/H101</f>
        <v>0.58486486486486489</v>
      </c>
      <c r="I105" s="2892">
        <f>0.8656/I101</f>
        <v>0.58486486486486489</v>
      </c>
      <c r="J105" s="2892">
        <f>0.7525/J101</f>
        <v>0.50844594594594594</v>
      </c>
      <c r="K105" s="2892">
        <f>0.7525/K101</f>
        <v>0.50844594594594594</v>
      </c>
      <c r="L105" s="2892">
        <f>0.7525/L101</f>
        <v>0.50844594594594594</v>
      </c>
      <c r="M105" s="2892">
        <f>0.7525/M101</f>
        <v>0.50844594594594594</v>
      </c>
      <c r="N105" s="2892">
        <f>0.7525/N101</f>
        <v>0.50844594594594594</v>
      </c>
    </row>
    <row r="106" spans="1:14">
      <c r="A106" s="3371"/>
      <c r="B106" s="2891">
        <v>5</v>
      </c>
      <c r="C106" s="2892">
        <f>0.8417/C101</f>
        <v>0.56871621621621626</v>
      </c>
      <c r="D106" s="2892">
        <f>0.8417/D101</f>
        <v>0.56871621621621626</v>
      </c>
      <c r="E106" s="2892">
        <f>0.7371/E101</f>
        <v>0.49804054054054053</v>
      </c>
      <c r="F106" s="2892">
        <f>0.7371/F101</f>
        <v>0.49804054054054053</v>
      </c>
      <c r="G106" s="2892">
        <f>0.7371/G101</f>
        <v>0.49804054054054053</v>
      </c>
      <c r="H106" s="2892">
        <f>0.7371/H101</f>
        <v>0.49804054054054053</v>
      </c>
      <c r="I106" s="2892">
        <f>0.7371/I101</f>
        <v>0.49804054054054053</v>
      </c>
      <c r="J106" s="2892">
        <f>0.5659/J101</f>
        <v>0.38236486486486482</v>
      </c>
      <c r="K106" s="2892">
        <f>0.5659/K101</f>
        <v>0.38236486486486482</v>
      </c>
      <c r="L106" s="2892">
        <f>0.5659/L101</f>
        <v>0.38236486486486482</v>
      </c>
      <c r="M106" s="2892">
        <f>0.5659/M101</f>
        <v>0.38236486486486482</v>
      </c>
      <c r="N106" s="2892">
        <f>0.5659/N101</f>
        <v>0.38236486486486482</v>
      </c>
    </row>
    <row r="107" spans="1:14">
      <c r="A107" s="3371"/>
      <c r="B107" s="2891">
        <v>6</v>
      </c>
      <c r="C107" s="2892">
        <f>0.7608/C101</f>
        <v>0.51405405405405413</v>
      </c>
      <c r="D107" s="2892">
        <f>0.7608/D101</f>
        <v>0.51405405405405413</v>
      </c>
      <c r="E107" s="2892">
        <f>0.6482/E101</f>
        <v>0.437972972972973</v>
      </c>
      <c r="F107" s="2892">
        <f>0.6482/F101</f>
        <v>0.437972972972973</v>
      </c>
      <c r="G107" s="2892">
        <f>0.6482/G101</f>
        <v>0.437972972972973</v>
      </c>
      <c r="H107" s="2892">
        <f>0.6482/H101</f>
        <v>0.437972972972973</v>
      </c>
      <c r="I107" s="2892">
        <f>0.6482/I101</f>
        <v>0.437972972972973</v>
      </c>
      <c r="J107" s="2892">
        <f>0.4525/J101</f>
        <v>0.30574324324324326</v>
      </c>
      <c r="K107" s="2892">
        <f>0.4525/K101</f>
        <v>0.30574324324324326</v>
      </c>
      <c r="L107" s="2892">
        <f>0.4525/L101</f>
        <v>0.30574324324324326</v>
      </c>
      <c r="M107" s="2892">
        <f>0.4525/M101</f>
        <v>0.30574324324324326</v>
      </c>
      <c r="N107" s="2892">
        <f>0.4525/N101</f>
        <v>0.30574324324324326</v>
      </c>
    </row>
    <row r="108" spans="1:14">
      <c r="A108" s="3371"/>
      <c r="B108" s="3283" t="s">
        <v>2973</v>
      </c>
      <c r="C108" s="2893">
        <f>C99</f>
        <v>0</v>
      </c>
      <c r="D108" s="2893">
        <f t="shared" ref="D108:N108" si="33">D99</f>
        <v>0</v>
      </c>
      <c r="E108" s="2893">
        <f t="shared" si="33"/>
        <v>0</v>
      </c>
      <c r="F108" s="2893">
        <f t="shared" si="33"/>
        <v>0</v>
      </c>
      <c r="G108" s="2893">
        <f t="shared" si="33"/>
        <v>0</v>
      </c>
      <c r="H108" s="2893">
        <f t="shared" si="33"/>
        <v>0</v>
      </c>
      <c r="I108" s="2893">
        <f t="shared" si="33"/>
        <v>0</v>
      </c>
      <c r="J108" s="2893">
        <f t="shared" si="33"/>
        <v>0</v>
      </c>
      <c r="K108" s="2893">
        <f t="shared" si="33"/>
        <v>0</v>
      </c>
      <c r="L108" s="2893">
        <f t="shared" si="33"/>
        <v>0</v>
      </c>
      <c r="M108" s="2893">
        <f t="shared" si="33"/>
        <v>0</v>
      </c>
      <c r="N108" s="2893">
        <f t="shared" si="33"/>
        <v>0</v>
      </c>
    </row>
    <row r="109" spans="1:14">
      <c r="A109" s="3372"/>
      <c r="B109" s="3284"/>
      <c r="C109" s="2894">
        <f>(-0.163*(C108^2)-0.59*C108+7617)*(10^(-4))/C101</f>
        <v>0.51466216216216221</v>
      </c>
      <c r="D109" s="2894">
        <f>(-0.163*(D108^2)-0.59*D108+7617)*(10^(-4))/D101</f>
        <v>0.51466216216216221</v>
      </c>
      <c r="E109" s="2894">
        <f>(-0.161*(E108^2)-7.509*E108+6533)*(10^(-4))/E101</f>
        <v>0.44141891891891893</v>
      </c>
      <c r="F109" s="2894">
        <f>(-0.161*(F108^2)-7.509*F108+6533)*(10^(-4))/F101</f>
        <v>0.44141891891891893</v>
      </c>
      <c r="G109" s="2894">
        <f>(-0.161*(G108^2)-7.509*G108+6533)*(10^(-4))/G101</f>
        <v>0.44141891891891893</v>
      </c>
      <c r="H109" s="2894">
        <f>(-0.161*(H108^2)-7.509*H108+6533)*(10^(-4))/H101</f>
        <v>0.44141891891891893</v>
      </c>
      <c r="I109" s="2894">
        <f>(-0.161*(I108^2)-7.509*I108+6533)*(10^(-4))/I101</f>
        <v>0.44141891891891893</v>
      </c>
      <c r="J109" s="2894">
        <f>(-0.214*(J108^2)-21.991*J108+4665)*(10^(-4))/J101</f>
        <v>0.31520270270270273</v>
      </c>
      <c r="K109" s="2894">
        <f>(-0.214*(K108^2)-21.991*K108+4665)*(10^(-4))/K101</f>
        <v>0.31520270270270273</v>
      </c>
      <c r="L109" s="2894">
        <f>(-0.214*(L108^2)-21.991*L108+4665)*(10^(-4))/L101</f>
        <v>0.31520270270270273</v>
      </c>
      <c r="M109" s="2894">
        <f>(-0.214*(M108^2)-21.991*M108+4665)*(10^(-4))/M101</f>
        <v>0.31520270270270273</v>
      </c>
      <c r="N109" s="2894">
        <f>(-0.214*(N108^2)-21.991*N108+4665)*(10^(-4))/N101</f>
        <v>0.31520270270270273</v>
      </c>
    </row>
    <row r="110" spans="1:14">
      <c r="A110" s="3368" t="s">
        <v>2974</v>
      </c>
      <c r="B110" s="3368"/>
      <c r="C110" s="3368"/>
      <c r="D110" s="3368"/>
      <c r="E110" s="3368"/>
      <c r="F110" s="3368"/>
      <c r="G110" s="3368"/>
      <c r="H110" s="3368"/>
      <c r="I110" s="3368"/>
      <c r="J110" s="3368"/>
      <c r="K110" s="2897"/>
      <c r="L110" s="2897"/>
      <c r="M110" s="2897"/>
      <c r="N110" s="2897"/>
    </row>
    <row r="112" spans="1:14" ht="13.5" thickBot="1"/>
    <row r="113" spans="1:13" ht="25.5" thickBot="1">
      <c r="A113" s="900" t="s">
        <v>2975</v>
      </c>
      <c r="B113" s="1287">
        <f>G3</f>
        <v>1.48</v>
      </c>
      <c r="C113" s="901" t="s">
        <v>2976</v>
      </c>
      <c r="D113" s="902">
        <f>SUMPRODUCT((A115:A118=F113)*(B114:M114=H113)*B115:M118)</f>
        <v>0.86299999999999999</v>
      </c>
      <c r="E113" s="2720" t="s">
        <v>2808</v>
      </c>
      <c r="F113" s="2899" t="str">
        <f>E2</f>
        <v>住宅</v>
      </c>
      <c r="G113" s="2720" t="s">
        <v>2809</v>
      </c>
      <c r="H113" s="2899" t="str">
        <f>G2</f>
        <v>七级</v>
      </c>
      <c r="I113" s="2720"/>
      <c r="J113" s="2900"/>
      <c r="K113" s="2900"/>
      <c r="L113" s="2900"/>
      <c r="M113" s="2900"/>
    </row>
    <row r="114" spans="1:13">
      <c r="A114" s="905"/>
      <c r="B114" s="2901" t="s">
        <v>2977</v>
      </c>
      <c r="C114" s="2901" t="s">
        <v>2978</v>
      </c>
      <c r="D114" s="2901" t="s">
        <v>2979</v>
      </c>
      <c r="E114" s="2902" t="s">
        <v>2980</v>
      </c>
      <c r="F114" s="2902" t="s">
        <v>2981</v>
      </c>
      <c r="G114" s="2902" t="s">
        <v>2982</v>
      </c>
      <c r="H114" s="2903" t="s">
        <v>2983</v>
      </c>
      <c r="I114" s="2903" t="s">
        <v>2984</v>
      </c>
      <c r="J114" s="2904" t="s">
        <v>2985</v>
      </c>
      <c r="K114" s="2904" t="s">
        <v>2986</v>
      </c>
      <c r="L114" s="2904" t="s">
        <v>2987</v>
      </c>
      <c r="M114" s="2905" t="s">
        <v>2988</v>
      </c>
    </row>
    <row r="115" spans="1:13">
      <c r="A115" s="906" t="s">
        <v>2873</v>
      </c>
      <c r="B115" s="907">
        <f>ROUND(0.9335-0.0094*B113,4)</f>
        <v>0.91959999999999997</v>
      </c>
      <c r="C115" s="907">
        <f>B115</f>
        <v>0.91959999999999997</v>
      </c>
      <c r="D115" s="907">
        <f>ROUND(0.8331-0.0109*B113,4)</f>
        <v>0.81699999999999995</v>
      </c>
      <c r="E115" s="907">
        <f>D115</f>
        <v>0.81699999999999995</v>
      </c>
      <c r="F115" s="907">
        <f>E115</f>
        <v>0.81699999999999995</v>
      </c>
      <c r="G115" s="907">
        <f>F115</f>
        <v>0.81699999999999995</v>
      </c>
      <c r="H115" s="907">
        <f>G115</f>
        <v>0.81699999999999995</v>
      </c>
      <c r="I115" s="907">
        <f>ROUND(0.689-0.0155*B113,4)</f>
        <v>0.66610000000000003</v>
      </c>
      <c r="J115" s="907">
        <f t="shared" ref="J115:M118" si="34">I115</f>
        <v>0.66610000000000003</v>
      </c>
      <c r="K115" s="907">
        <f t="shared" si="34"/>
        <v>0.66610000000000003</v>
      </c>
      <c r="L115" s="907">
        <f t="shared" si="34"/>
        <v>0.66610000000000003</v>
      </c>
      <c r="M115" s="908">
        <f t="shared" si="34"/>
        <v>0.66610000000000003</v>
      </c>
    </row>
    <row r="116" spans="1:13">
      <c r="A116" s="906" t="s">
        <v>2874</v>
      </c>
      <c r="B116" s="907">
        <f>ROUND(0.949-0.012*B113,4)</f>
        <v>0.93120000000000003</v>
      </c>
      <c r="C116" s="907">
        <f>B116</f>
        <v>0.93120000000000003</v>
      </c>
      <c r="D116" s="907">
        <f>ROUND(0.8567-0.013*B113,4)</f>
        <v>0.83750000000000002</v>
      </c>
      <c r="E116" s="907">
        <f t="shared" ref="E116:H117" si="35">D116</f>
        <v>0.83750000000000002</v>
      </c>
      <c r="F116" s="907">
        <f t="shared" si="35"/>
        <v>0.83750000000000002</v>
      </c>
      <c r="G116" s="907">
        <f t="shared" si="35"/>
        <v>0.83750000000000002</v>
      </c>
      <c r="H116" s="907">
        <f t="shared" si="35"/>
        <v>0.83750000000000002</v>
      </c>
      <c r="I116" s="907">
        <f>ROUND(0.7694-0.014*B113,4)</f>
        <v>0.74870000000000003</v>
      </c>
      <c r="J116" s="907">
        <f t="shared" si="34"/>
        <v>0.74870000000000003</v>
      </c>
      <c r="K116" s="907">
        <f t="shared" si="34"/>
        <v>0.74870000000000003</v>
      </c>
      <c r="L116" s="907">
        <f t="shared" si="34"/>
        <v>0.74870000000000003</v>
      </c>
      <c r="M116" s="908">
        <f t="shared" si="34"/>
        <v>0.74870000000000003</v>
      </c>
    </row>
    <row r="117" spans="1:13">
      <c r="A117" s="906" t="s">
        <v>2875</v>
      </c>
      <c r="B117" s="907">
        <f>ROUND(0.8808-0.006*B113,4)</f>
        <v>0.87190000000000001</v>
      </c>
      <c r="C117" s="907">
        <f>B117</f>
        <v>0.87190000000000001</v>
      </c>
      <c r="D117" s="907">
        <f>ROUND(0.8748-0.008*B113,4)</f>
        <v>0.86299999999999999</v>
      </c>
      <c r="E117" s="907">
        <f t="shared" si="35"/>
        <v>0.86299999999999999</v>
      </c>
      <c r="F117" s="907">
        <f t="shared" si="35"/>
        <v>0.86299999999999999</v>
      </c>
      <c r="G117" s="907">
        <f t="shared" si="35"/>
        <v>0.86299999999999999</v>
      </c>
      <c r="H117" s="907">
        <f t="shared" si="35"/>
        <v>0.86299999999999999</v>
      </c>
      <c r="I117" s="907">
        <f>ROUND(0.7412-0.0095*B113,4)</f>
        <v>0.72709999999999997</v>
      </c>
      <c r="J117" s="907">
        <f t="shared" si="34"/>
        <v>0.72709999999999997</v>
      </c>
      <c r="K117" s="907">
        <f t="shared" si="34"/>
        <v>0.72709999999999997</v>
      </c>
      <c r="L117" s="907">
        <f t="shared" si="34"/>
        <v>0.72709999999999997</v>
      </c>
      <c r="M117" s="908">
        <f t="shared" si="34"/>
        <v>0.72709999999999997</v>
      </c>
    </row>
    <row r="118" spans="1:13" ht="13.5" thickBot="1">
      <c r="A118" s="714" t="s">
        <v>2876</v>
      </c>
      <c r="B118" s="909">
        <f>ROUND(0.7275-0.01*B113,4)</f>
        <v>0.7127</v>
      </c>
      <c r="C118" s="909">
        <f>B118</f>
        <v>0.7127</v>
      </c>
      <c r="D118" s="909">
        <f>ROUND(0.7043-0.012*B113,4)</f>
        <v>0.6865</v>
      </c>
      <c r="E118" s="909">
        <f>D118</f>
        <v>0.6865</v>
      </c>
      <c r="F118" s="909">
        <f>E118</f>
        <v>0.6865</v>
      </c>
      <c r="G118" s="909">
        <f>ROUND(0.6299-0.0122*B113,4)</f>
        <v>0.61180000000000001</v>
      </c>
      <c r="H118" s="909">
        <f>G118</f>
        <v>0.61180000000000001</v>
      </c>
      <c r="I118" s="909">
        <f>ROUND(0.5667-0.0136*B113,4)</f>
        <v>0.54659999999999997</v>
      </c>
      <c r="J118" s="909">
        <f t="shared" si="34"/>
        <v>0.54659999999999997</v>
      </c>
      <c r="K118" s="909">
        <f t="shared" si="34"/>
        <v>0.54659999999999997</v>
      </c>
      <c r="L118" s="909">
        <f t="shared" si="34"/>
        <v>0.54659999999999997</v>
      </c>
      <c r="M118" s="910">
        <f t="shared" si="34"/>
        <v>0.54659999999999997</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33" priority="5" stopIfTrue="1" operator="notEqual">
      <formula>"——"</formula>
    </cfRule>
  </conditionalFormatting>
  <conditionalFormatting sqref="F59">
    <cfRule type="cellIs" dxfId="132" priority="4" stopIfTrue="1" operator="notEqual">
      <formula>"——"</formula>
    </cfRule>
  </conditionalFormatting>
  <conditionalFormatting sqref="F70">
    <cfRule type="cellIs" dxfId="131" priority="3" stopIfTrue="1" operator="notEqual">
      <formula>"——"</formula>
    </cfRule>
  </conditionalFormatting>
  <conditionalFormatting sqref="F81">
    <cfRule type="cellIs" dxfId="130" priority="2" stopIfTrue="1" operator="notEqual">
      <formula>"——"</formula>
    </cfRule>
  </conditionalFormatting>
  <conditionalFormatting sqref="H48:H56 H59:H67 H70:H78 H81:H88">
    <cfRule type="cellIs" dxfId="129"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O27" sqref="O27"/>
    </sheetView>
  </sheetViews>
  <sheetFormatPr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381" t="s">
        <v>1150</v>
      </c>
      <c r="C1" s="3381"/>
      <c r="D1" s="3381"/>
      <c r="E1" s="3381"/>
      <c r="F1" s="3381"/>
      <c r="G1" s="3380" t="s">
        <v>1151</v>
      </c>
      <c r="H1" s="3380"/>
      <c r="I1" s="3380"/>
      <c r="J1" s="3380"/>
      <c r="K1" s="3380"/>
      <c r="L1" s="3380"/>
      <c r="N1" s="3380" t="s">
        <v>1152</v>
      </c>
      <c r="O1" s="3380"/>
      <c r="P1" s="3380"/>
      <c r="Q1" s="3380"/>
      <c r="R1" s="1446"/>
      <c r="S1" s="3380" t="s">
        <v>1153</v>
      </c>
      <c r="T1" s="3380"/>
      <c r="U1" s="3380"/>
      <c r="V1" s="3380"/>
      <c r="X1" s="3379" t="s">
        <v>1154</v>
      </c>
      <c r="Y1" s="3380"/>
      <c r="Z1" s="3380"/>
      <c r="AA1" s="3380"/>
      <c r="AB1" s="3380"/>
      <c r="AD1" s="3379" t="s">
        <v>1155</v>
      </c>
      <c r="AE1" s="3380"/>
      <c r="AF1" s="3380"/>
      <c r="AG1" s="3380"/>
      <c r="AH1" s="3380"/>
    </row>
    <row r="2" spans="1:34" s="1447" customFormat="1" ht="14.25" thickBot="1">
      <c r="B2" s="1448" t="s">
        <v>1156</v>
      </c>
      <c r="C2" s="1448" t="s">
        <v>1157</v>
      </c>
      <c r="D2" s="1449" t="s">
        <v>1158</v>
      </c>
      <c r="E2" s="1449" t="s">
        <v>1159</v>
      </c>
      <c r="F2" s="1448" t="s">
        <v>1160</v>
      </c>
      <c r="G2" s="1450"/>
      <c r="H2" s="1451"/>
      <c r="I2" s="1448" t="s">
        <v>1156</v>
      </c>
      <c r="J2" s="1449" t="s">
        <v>1385</v>
      </c>
      <c r="K2" s="1449" t="s">
        <v>751</v>
      </c>
      <c r="L2" s="1448" t="s">
        <v>1160</v>
      </c>
      <c r="N2" s="1448" t="s">
        <v>1156</v>
      </c>
      <c r="O2" s="1449" t="s">
        <v>1385</v>
      </c>
      <c r="P2" s="1449" t="s">
        <v>751</v>
      </c>
      <c r="Q2" s="1448" t="s">
        <v>1160</v>
      </c>
      <c r="R2" s="1452"/>
      <c r="S2" s="1448" t="s">
        <v>1156</v>
      </c>
      <c r="T2" s="1449" t="s">
        <v>1385</v>
      </c>
      <c r="U2" s="1449" t="s">
        <v>751</v>
      </c>
      <c r="V2" s="1448" t="s">
        <v>1160</v>
      </c>
      <c r="X2" s="1448" t="s">
        <v>1156</v>
      </c>
      <c r="Y2" s="1448" t="s">
        <v>1157</v>
      </c>
      <c r="Z2" s="1449" t="s">
        <v>1158</v>
      </c>
      <c r="AA2" s="1449" t="s">
        <v>1159</v>
      </c>
      <c r="AB2" s="1448" t="s">
        <v>1160</v>
      </c>
      <c r="AD2" s="1448" t="s">
        <v>1156</v>
      </c>
      <c r="AE2" s="1448" t="s">
        <v>1157</v>
      </c>
      <c r="AF2" s="1449" t="s">
        <v>1158</v>
      </c>
      <c r="AG2" s="1449" t="s">
        <v>1159</v>
      </c>
      <c r="AH2" s="1448" t="s">
        <v>1160</v>
      </c>
    </row>
    <row r="3" spans="1:34" s="2936" customFormat="1" ht="14.25">
      <c r="A3" s="2945" t="s">
        <v>3036</v>
      </c>
      <c r="B3" s="2937"/>
      <c r="C3" s="2937"/>
      <c r="D3" s="2938"/>
      <c r="E3" s="2938"/>
      <c r="F3" s="2937"/>
      <c r="G3" s="2939"/>
      <c r="H3" s="2940"/>
      <c r="I3" s="2941">
        <f>ROUND(AVERAGE($I6:$I21),2)</f>
        <v>2.4500000000000002</v>
      </c>
      <c r="J3" s="2941">
        <f>ROUND(AVERAGE($J6:$J21),2)</f>
        <v>1.65</v>
      </c>
      <c r="K3" s="2941">
        <f>ROUND(AVERAGE($K6:$K21),2)</f>
        <v>2.71</v>
      </c>
      <c r="L3" s="2941">
        <f>ROUND(AVERAGE($L6:$L21),2)</f>
        <v>1.39</v>
      </c>
      <c r="N3" s="2939"/>
      <c r="O3" s="2942"/>
      <c r="P3" s="2942"/>
      <c r="Q3" s="2942"/>
      <c r="R3" s="2942"/>
      <c r="S3" s="2939"/>
      <c r="T3" s="2942"/>
      <c r="U3" s="2942"/>
      <c r="V3" s="2942"/>
      <c r="W3" s="2934"/>
      <c r="X3" s="2943">
        <f>ROUND(SUMPRODUCT(PRODUCT(1+N3:N$20)),4)</f>
        <v>1.4274</v>
      </c>
      <c r="Y3" s="2943">
        <f>ROUND(SUMPRODUCT(PRODUCT(1+O3:O$20)),4)</f>
        <v>1.2685</v>
      </c>
      <c r="Z3" s="2943">
        <f t="shared" ref="Z3:Z18" si="0">Y3</f>
        <v>1.2685</v>
      </c>
      <c r="AA3" s="2943">
        <f>ROUND(SUMPRODUCT(PRODUCT(1+P3:P$20)),4)</f>
        <v>1.4825999999999999</v>
      </c>
      <c r="AB3" s="2943">
        <f>ROUND(SUMPRODUCT(PRODUCT(1+Q3:Q$20)),4)</f>
        <v>1.2309000000000001</v>
      </c>
      <c r="AD3" s="2944">
        <f>ROUND(AVERAGE(I3:I$21)/100,4)</f>
        <v>2.3099999999999999E-2</v>
      </c>
      <c r="AE3" s="2944">
        <f>ROUND(AVERAGE(J3:J$21)/100,4)</f>
        <v>1.5599999999999999E-2</v>
      </c>
      <c r="AF3" s="2944">
        <f t="shared" ref="AF3:AF19" si="1">AE3</f>
        <v>1.5599999999999999E-2</v>
      </c>
      <c r="AG3" s="2944">
        <f>ROUND(AVERAGE(K3:K$21)/100,4)</f>
        <v>2.5600000000000001E-2</v>
      </c>
      <c r="AH3" s="2944">
        <f>ROUND(AVERAGE(L3:L$21)/100,4)</f>
        <v>1.32E-2</v>
      </c>
    </row>
    <row r="4" spans="1:34" s="1453" customFormat="1" ht="14.25">
      <c r="B4" s="1454"/>
      <c r="C4" s="1454"/>
      <c r="D4" s="1455"/>
      <c r="E4" s="1455"/>
      <c r="F4" s="1454"/>
      <c r="G4" s="1456"/>
      <c r="H4" s="1457"/>
      <c r="I4" s="2919"/>
      <c r="J4" s="2919"/>
      <c r="K4" s="2919"/>
      <c r="L4" s="2919"/>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5" thickBot="1">
      <c r="A5" s="1729" t="s">
        <v>3035</v>
      </c>
      <c r="B5" s="1791">
        <f t="shared" ref="B5" si="2">B6*(1+N5)</f>
        <v>439.19121308559727</v>
      </c>
      <c r="C5" s="1791">
        <f t="shared" ref="C5" si="3">C6*(1+O5)</f>
        <v>326.28510789673351</v>
      </c>
      <c r="D5" s="1791">
        <f t="shared" ref="D5" si="4">C5</f>
        <v>326.28510789673351</v>
      </c>
      <c r="E5" s="1791">
        <f t="shared" ref="E5" si="5">E6*(1+P5)</f>
        <v>626.49404043656455</v>
      </c>
      <c r="F5" s="1791">
        <f t="shared" ref="F5" si="6">F6*(1+Q5)</f>
        <v>283.46416215500358</v>
      </c>
      <c r="G5" s="2922">
        <v>2018</v>
      </c>
      <c r="H5" s="1730">
        <v>1</v>
      </c>
      <c r="I5" s="2920">
        <v>0</v>
      </c>
      <c r="J5" s="2920">
        <v>0</v>
      </c>
      <c r="K5" s="2920">
        <v>0</v>
      </c>
      <c r="L5" s="2920">
        <v>0</v>
      </c>
      <c r="N5" s="1467">
        <f t="shared" ref="N5:N10" si="7">I5/100</f>
        <v>0</v>
      </c>
      <c r="O5" s="1467">
        <f t="shared" ref="O5" si="8">J5/100</f>
        <v>0</v>
      </c>
      <c r="P5" s="1467">
        <f t="shared" ref="P5" si="9">K5/100</f>
        <v>0</v>
      </c>
      <c r="Q5" s="1467">
        <f t="shared" ref="Q5" si="10">L5/100</f>
        <v>0</v>
      </c>
      <c r="R5" s="1732"/>
      <c r="S5" s="1733"/>
      <c r="T5" s="1732"/>
      <c r="U5" s="1732"/>
      <c r="V5" s="1732"/>
      <c r="W5" s="2935" t="s">
        <v>3037</v>
      </c>
      <c r="X5" s="1726">
        <f>ROUND(SUMPRODUCT(PRODUCT(1+N5:N$20)),4)</f>
        <v>1.4274</v>
      </c>
      <c r="Y5" s="1726">
        <f>ROUND(SUMPRODUCT(PRODUCT(1+O5:O$20)),4)</f>
        <v>1.2685</v>
      </c>
      <c r="Z5" s="1726">
        <f t="shared" ref="Z5" si="11">Y5</f>
        <v>1.2685</v>
      </c>
      <c r="AA5" s="1726">
        <f>ROUND(SUMPRODUCT(PRODUCT(1+P5:P$20)),4)</f>
        <v>1.4825999999999999</v>
      </c>
      <c r="AB5" s="1726">
        <f>ROUND(SUMPRODUCT(PRODUCT(1+Q5:Q$20)),4)</f>
        <v>1.2309000000000001</v>
      </c>
      <c r="AD5" s="1468">
        <f>ROUND(AVERAGE(I5:I$21)/100,4)</f>
        <v>2.3E-2</v>
      </c>
      <c r="AE5" s="1468">
        <f>ROUND(AVERAGE(J5:J$21)/100,4)</f>
        <v>1.55E-2</v>
      </c>
      <c r="AF5" s="1468">
        <f t="shared" ref="AF5" si="12">AE5</f>
        <v>1.55E-2</v>
      </c>
      <c r="AG5" s="1468">
        <f>ROUND(AVERAGE(K5:K$21)/100,4)</f>
        <v>2.5499999999999998E-2</v>
      </c>
      <c r="AH5" s="1468">
        <f>ROUND(AVERAGE(L5:L$21)/100,4)</f>
        <v>1.3100000000000001E-2</v>
      </c>
    </row>
    <row r="6" spans="1:34">
      <c r="A6" s="1461" t="s">
        <v>3032</v>
      </c>
      <c r="B6" s="1469">
        <f t="shared" ref="B6" si="13">B7*(1+N6)</f>
        <v>439.19121308559727</v>
      </c>
      <c r="C6" s="1469">
        <f t="shared" ref="C6" si="14">C7*(1+O6)</f>
        <v>326.28510789673351</v>
      </c>
      <c r="D6" s="1469">
        <f t="shared" ref="D6" si="15">C6</f>
        <v>326.28510789673351</v>
      </c>
      <c r="E6" s="1469">
        <f t="shared" ref="E6" si="16">E7*(1+P6)</f>
        <v>626.49404043656455</v>
      </c>
      <c r="F6" s="1470">
        <f t="shared" ref="F6" si="17">F7*(1+Q6)</f>
        <v>283.46416215500358</v>
      </c>
      <c r="G6" s="2922">
        <v>2017</v>
      </c>
      <c r="H6" s="1462">
        <v>4</v>
      </c>
      <c r="I6" s="1462">
        <v>1.71</v>
      </c>
      <c r="J6" s="1462">
        <v>1.78</v>
      </c>
      <c r="K6" s="1462">
        <v>1.71</v>
      </c>
      <c r="L6" s="1463">
        <v>1.43</v>
      </c>
      <c r="N6" s="1472">
        <f t="shared" si="7"/>
        <v>1.7100000000000001E-2</v>
      </c>
      <c r="O6" s="1473">
        <f t="shared" ref="O6" si="18">J6/100</f>
        <v>1.78E-2</v>
      </c>
      <c r="P6" s="1473">
        <f t="shared" ref="P6" si="19">K6/100</f>
        <v>1.7100000000000001E-2</v>
      </c>
      <c r="Q6" s="1473">
        <f t="shared" ref="Q6" si="20">L6/100</f>
        <v>1.43E-2</v>
      </c>
      <c r="R6" s="1474"/>
      <c r="S6" s="1475"/>
      <c r="T6" s="1476"/>
      <c r="U6" s="1476"/>
      <c r="V6" s="1476"/>
      <c r="X6" s="1459">
        <f>ROUND(SUMPRODUCT(PRODUCT(1+N6:N$20)),4)</f>
        <v>1.4274</v>
      </c>
      <c r="Y6" s="1459">
        <f>ROUND(SUMPRODUCT(PRODUCT(1+O6:O$20)),4)</f>
        <v>1.2685</v>
      </c>
      <c r="Z6" s="1459">
        <f t="shared" si="0"/>
        <v>1.2685</v>
      </c>
      <c r="AA6" s="1459">
        <f>ROUND(SUMPRODUCT(PRODUCT(1+P6:P$20)),4)</f>
        <v>1.4825999999999999</v>
      </c>
      <c r="AB6" s="1459">
        <f>ROUND(SUMPRODUCT(PRODUCT(1+Q6:Q$20)),4)</f>
        <v>1.2309000000000001</v>
      </c>
      <c r="AD6" s="1460">
        <f>ROUND(AVERAGE(I6:I$21)/100,4)</f>
        <v>2.4500000000000001E-2</v>
      </c>
      <c r="AE6" s="1460">
        <f>ROUND(AVERAGE(J6:J$21)/100,4)</f>
        <v>1.6500000000000001E-2</v>
      </c>
      <c r="AF6" s="1460">
        <f t="shared" si="1"/>
        <v>1.6500000000000001E-2</v>
      </c>
      <c r="AG6" s="1460">
        <f>ROUND(AVERAGE(K6:K$21)/100,4)</f>
        <v>2.7099999999999999E-2</v>
      </c>
      <c r="AH6" s="1460">
        <f>ROUND(AVERAGE(L6:L$21)/100,4)</f>
        <v>1.3899999999999999E-2</v>
      </c>
    </row>
    <row r="7" spans="1:34" s="1466" customFormat="1" ht="13.5" thickBot="1">
      <c r="A7" s="1461" t="s">
        <v>3033</v>
      </c>
      <c r="B7" s="1477">
        <f t="shared" ref="B7:B8" si="21">B8*(1+N7)</f>
        <v>431.80730811680002</v>
      </c>
      <c r="C7" s="1477">
        <f t="shared" ref="C7:C8" si="22">C8*(1+O7)</f>
        <v>320.57880516480003</v>
      </c>
      <c r="D7" s="1477">
        <f t="shared" ref="D7:D8" si="23">C7</f>
        <v>320.57880516480003</v>
      </c>
      <c r="E7" s="1477">
        <f t="shared" ref="E7:E8" si="24">E8*(1+P7)</f>
        <v>615.96110553196797</v>
      </c>
      <c r="F7" s="1477">
        <f t="shared" ref="F7:F8" si="25">F8*(1+Q7)</f>
        <v>279.46777300108801</v>
      </c>
      <c r="G7" s="2918"/>
      <c r="H7" s="1464">
        <v>3</v>
      </c>
      <c r="I7" s="1464">
        <v>2.98</v>
      </c>
      <c r="J7" s="1464">
        <v>2.11</v>
      </c>
      <c r="K7" s="1464">
        <v>3.24</v>
      </c>
      <c r="L7" s="1478">
        <v>1.72</v>
      </c>
      <c r="M7" s="1471"/>
      <c r="N7" s="1472">
        <f t="shared" si="7"/>
        <v>2.98E-2</v>
      </c>
      <c r="O7" s="1473">
        <f t="shared" ref="O7" si="26">J7/100</f>
        <v>2.1099999999999997E-2</v>
      </c>
      <c r="P7" s="1473">
        <f t="shared" ref="P7" si="27">K7/100</f>
        <v>3.2400000000000005E-2</v>
      </c>
      <c r="Q7" s="1473">
        <f t="shared" ref="Q7" si="28">L7/100</f>
        <v>1.72E-2</v>
      </c>
      <c r="R7" s="1474"/>
      <c r="S7" s="1472"/>
      <c r="T7" s="1473"/>
      <c r="U7" s="1473"/>
      <c r="V7" s="1473"/>
      <c r="W7" s="1790"/>
      <c r="X7" s="1788">
        <f>ROUND(SUMPRODUCT(PRODUCT(1+N7:N$20)),4)</f>
        <v>1.4034</v>
      </c>
      <c r="Y7" s="1788">
        <f>ROUND(SUMPRODUCT(PRODUCT(1+O7:O$20)),4)</f>
        <v>1.2463</v>
      </c>
      <c r="Z7" s="1788">
        <f t="shared" si="0"/>
        <v>1.2463</v>
      </c>
      <c r="AA7" s="1788">
        <f>ROUND(SUMPRODUCT(PRODUCT(1+P7:P$20)),4)</f>
        <v>1.4577</v>
      </c>
      <c r="AB7" s="1788">
        <f>ROUND(SUMPRODUCT(PRODUCT(1+Q7:Q$20)),4)</f>
        <v>1.2136</v>
      </c>
      <c r="AC7" s="1790"/>
      <c r="AD7" s="1789">
        <f>ROUND(AVERAGE(I7:I$21)/100,4)</f>
        <v>2.4899999999999999E-2</v>
      </c>
      <c r="AE7" s="1789">
        <f>ROUND(AVERAGE(J7:J$21)/100,4)</f>
        <v>1.6400000000000001E-2</v>
      </c>
      <c r="AF7" s="1789">
        <f t="shared" si="1"/>
        <v>1.6400000000000001E-2</v>
      </c>
      <c r="AG7" s="1789">
        <f>ROUND(AVERAGE(K7:K$21)/100,4)</f>
        <v>2.7799999999999998E-2</v>
      </c>
      <c r="AH7" s="1789">
        <f>ROUND(AVERAGE(L7:L$21)/100,4)</f>
        <v>1.3899999999999999E-2</v>
      </c>
    </row>
    <row r="8" spans="1:34" s="1731" customFormat="1">
      <c r="A8" s="1461" t="s">
        <v>1386</v>
      </c>
      <c r="B8" s="1477">
        <f t="shared" si="21"/>
        <v>419.31181600000002</v>
      </c>
      <c r="C8" s="1477">
        <f t="shared" si="22"/>
        <v>313.95436800000004</v>
      </c>
      <c r="D8" s="1477">
        <f t="shared" si="23"/>
        <v>313.95436800000004</v>
      </c>
      <c r="E8" s="1477">
        <f t="shared" si="24"/>
        <v>596.63028431999999</v>
      </c>
      <c r="F8" s="1477">
        <f t="shared" si="25"/>
        <v>274.74220703999998</v>
      </c>
      <c r="G8" s="2917"/>
      <c r="H8" s="1465">
        <v>2</v>
      </c>
      <c r="I8" s="1465">
        <v>3.4</v>
      </c>
      <c r="J8" s="1465">
        <v>2</v>
      </c>
      <c r="K8" s="1465">
        <v>3.82</v>
      </c>
      <c r="L8" s="1479">
        <v>1.68</v>
      </c>
      <c r="M8" s="1471"/>
      <c r="N8" s="1472">
        <f t="shared" si="7"/>
        <v>3.4000000000000002E-2</v>
      </c>
      <c r="O8" s="1473">
        <f t="shared" ref="O8" si="29">J8/100</f>
        <v>0.02</v>
      </c>
      <c r="P8" s="1473">
        <f t="shared" ref="P8" si="30">K8/100</f>
        <v>3.8199999999999998E-2</v>
      </c>
      <c r="Q8" s="1473">
        <f t="shared" ref="Q8" si="31">L8/100</f>
        <v>1.6799999999999999E-2</v>
      </c>
      <c r="R8" s="1474"/>
      <c r="S8" s="1475"/>
      <c r="T8" s="1476"/>
      <c r="U8" s="1476"/>
      <c r="V8" s="1476"/>
      <c r="W8" s="1453"/>
      <c r="X8" s="1788">
        <f>ROUND(SUMPRODUCT(PRODUCT(1+N8:N$20)),4)</f>
        <v>1.3628</v>
      </c>
      <c r="Y8" s="1788">
        <f>ROUND(SUMPRODUCT(PRODUCT(1+O8:O$20)),4)</f>
        <v>1.2205999999999999</v>
      </c>
      <c r="Z8" s="1788">
        <f t="shared" si="0"/>
        <v>1.2205999999999999</v>
      </c>
      <c r="AA8" s="1788">
        <f>ROUND(SUMPRODUCT(PRODUCT(1+P8:P$20)),4)</f>
        <v>1.4118999999999999</v>
      </c>
      <c r="AB8" s="1788">
        <f>ROUND(SUMPRODUCT(PRODUCT(1+Q8:Q$20)),4)</f>
        <v>1.1930000000000001</v>
      </c>
      <c r="AC8" s="1453"/>
      <c r="AD8" s="1789">
        <f>ROUND(AVERAGE(I8:I$21)/100,4)</f>
        <v>2.46E-2</v>
      </c>
      <c r="AE8" s="1789">
        <f>ROUND(AVERAGE(J8:J$21)/100,4)</f>
        <v>1.6E-2</v>
      </c>
      <c r="AF8" s="1789">
        <f t="shared" si="1"/>
        <v>1.6E-2</v>
      </c>
      <c r="AG8" s="1789">
        <f>ROUND(AVERAGE(K8:K$21)/100,4)</f>
        <v>2.75E-2</v>
      </c>
      <c r="AH8" s="1789">
        <f>ROUND(AVERAGE(L8:L$21)/100,4)</f>
        <v>1.37E-2</v>
      </c>
    </row>
    <row r="9" spans="1:34" s="1466" customFormat="1" ht="13.5" thickBot="1">
      <c r="A9" s="1461" t="s">
        <v>1161</v>
      </c>
      <c r="B9" s="1477">
        <f>B10*(1+N9)</f>
        <v>405.524</v>
      </c>
      <c r="C9" s="1477">
        <f>C10*(1+O9)</f>
        <v>307.79840000000002</v>
      </c>
      <c r="D9" s="1477">
        <f>C9</f>
        <v>307.79840000000002</v>
      </c>
      <c r="E9" s="1477">
        <f>E10*(1+P9)</f>
        <v>574.67759999999998</v>
      </c>
      <c r="F9" s="1477">
        <f>F10*(1+Q9)</f>
        <v>270.20280000000002</v>
      </c>
      <c r="G9" s="2918"/>
      <c r="H9" s="1464">
        <v>1</v>
      </c>
      <c r="I9" s="1464">
        <v>3.45</v>
      </c>
      <c r="J9" s="1464">
        <v>1.92</v>
      </c>
      <c r="K9" s="1464">
        <v>3.92</v>
      </c>
      <c r="L9" s="1478">
        <v>1.58</v>
      </c>
      <c r="M9" s="1471"/>
      <c r="N9" s="1472">
        <f t="shared" si="7"/>
        <v>3.4500000000000003E-2</v>
      </c>
      <c r="O9" s="1473">
        <f t="shared" ref="O9:Q24" si="32">J9/100</f>
        <v>1.9199999999999998E-2</v>
      </c>
      <c r="P9" s="1473">
        <f t="shared" si="32"/>
        <v>3.9199999999999999E-2</v>
      </c>
      <c r="Q9" s="1473">
        <f t="shared" si="32"/>
        <v>1.5800000000000002E-2</v>
      </c>
      <c r="R9" s="1474"/>
      <c r="S9" s="1472">
        <f>B9/B10-1</f>
        <v>3.4499999999999975E-2</v>
      </c>
      <c r="T9" s="1473">
        <f t="shared" ref="T9:V9" si="33">C9/C10-1</f>
        <v>1.9200000000000106E-2</v>
      </c>
      <c r="U9" s="1473">
        <f t="shared" si="33"/>
        <v>1.9200000000000106E-2</v>
      </c>
      <c r="V9" s="1473">
        <f t="shared" si="33"/>
        <v>3.9199999999999902E-2</v>
      </c>
      <c r="W9" s="1790"/>
      <c r="X9" s="1788">
        <f>ROUND(SUMPRODUCT(PRODUCT(1+N9:N$20)),4)</f>
        <v>1.3180000000000001</v>
      </c>
      <c r="Y9" s="1788">
        <f>ROUND(SUMPRODUCT(PRODUCT(1+O9:O$20)),4)</f>
        <v>1.1966000000000001</v>
      </c>
      <c r="Z9" s="1788">
        <f t="shared" si="0"/>
        <v>1.1966000000000001</v>
      </c>
      <c r="AA9" s="1788">
        <f>ROUND(SUMPRODUCT(PRODUCT(1+P9:P$20)),4)</f>
        <v>1.36</v>
      </c>
      <c r="AB9" s="1788">
        <f>ROUND(SUMPRODUCT(PRODUCT(1+Q9:Q$20)),4)</f>
        <v>1.1733</v>
      </c>
      <c r="AC9" s="1790"/>
      <c r="AD9" s="1789">
        <f>ROUND(AVERAGE(I9:I$21)/100,4)</f>
        <v>2.3900000000000001E-2</v>
      </c>
      <c r="AE9" s="1789">
        <f>ROUND(AVERAGE(J9:J$21)/100,4)</f>
        <v>1.5699999999999999E-2</v>
      </c>
      <c r="AF9" s="1789">
        <f t="shared" si="1"/>
        <v>1.5699999999999999E-2</v>
      </c>
      <c r="AG9" s="1789">
        <f>ROUND(AVERAGE(K9:K$21)/100,4)</f>
        <v>2.6599999999999999E-2</v>
      </c>
      <c r="AH9" s="1789">
        <f>ROUND(AVERAGE(L9:L$21)/100,4)</f>
        <v>1.34E-2</v>
      </c>
    </row>
    <row r="10" spans="1:34">
      <c r="A10" s="1461" t="s">
        <v>154</v>
      </c>
      <c r="B10" s="1469">
        <v>392</v>
      </c>
      <c r="C10" s="1469">
        <v>302</v>
      </c>
      <c r="D10" s="1469">
        <f>C10</f>
        <v>302</v>
      </c>
      <c r="E10" s="1469">
        <v>553</v>
      </c>
      <c r="F10" s="1470">
        <v>266</v>
      </c>
      <c r="G10" s="3382">
        <v>2016</v>
      </c>
      <c r="H10" s="1462">
        <v>4</v>
      </c>
      <c r="I10" s="1462">
        <v>4.5599999999999996</v>
      </c>
      <c r="J10" s="1462">
        <v>2.15</v>
      </c>
      <c r="K10" s="1462">
        <v>5.32</v>
      </c>
      <c r="L10" s="1463">
        <v>1.57</v>
      </c>
      <c r="N10" s="1472">
        <f t="shared" si="7"/>
        <v>4.5599999999999995E-2</v>
      </c>
      <c r="O10" s="1473">
        <f t="shared" si="32"/>
        <v>2.1499999999999998E-2</v>
      </c>
      <c r="P10" s="1473">
        <f t="shared" si="32"/>
        <v>5.3200000000000004E-2</v>
      </c>
      <c r="Q10" s="1473">
        <f t="shared" si="32"/>
        <v>1.5700000000000002E-2</v>
      </c>
      <c r="R10" s="1474"/>
      <c r="S10" s="1475"/>
      <c r="T10" s="1476"/>
      <c r="U10" s="1476"/>
      <c r="V10" s="1476"/>
      <c r="X10" s="1459">
        <f>ROUND(SUMPRODUCT(PRODUCT(1+N10:N$20)),4)</f>
        <v>1.274</v>
      </c>
      <c r="Y10" s="1459">
        <f>ROUND(SUMPRODUCT(PRODUCT(1+O10:O$20)),4)</f>
        <v>1.1740999999999999</v>
      </c>
      <c r="Z10" s="1459">
        <f t="shared" si="0"/>
        <v>1.1740999999999999</v>
      </c>
      <c r="AA10" s="1459">
        <f>ROUND(SUMPRODUCT(PRODUCT(1+P10:P$20)),4)</f>
        <v>1.3087</v>
      </c>
      <c r="AB10" s="1459">
        <f>ROUND(SUMPRODUCT(PRODUCT(1+Q10:Q$20)),4)</f>
        <v>1.1551</v>
      </c>
      <c r="AD10" s="1460">
        <f>ROUND(AVERAGE(I10:I$21)/100,4)</f>
        <v>2.3E-2</v>
      </c>
      <c r="AE10" s="1460">
        <f>ROUND(AVERAGE(J10:J$21)/100,4)</f>
        <v>1.55E-2</v>
      </c>
      <c r="AF10" s="1460">
        <f t="shared" si="1"/>
        <v>1.55E-2</v>
      </c>
      <c r="AG10" s="1460">
        <f>ROUND(AVERAGE(K10:K$21)/100,4)</f>
        <v>2.5600000000000001E-2</v>
      </c>
      <c r="AH10" s="1460">
        <f>ROUND(AVERAGE(L10:L$21)/100,4)</f>
        <v>1.32E-2</v>
      </c>
    </row>
    <row r="11" spans="1:34">
      <c r="A11" s="1461" t="s">
        <v>153</v>
      </c>
      <c r="B11" s="1477">
        <f t="shared" ref="B11:C13" si="34">B10/(1+N10)</f>
        <v>374.90436113236416</v>
      </c>
      <c r="C11" s="1477">
        <f t="shared" si="34"/>
        <v>295.64366128242779</v>
      </c>
      <c r="D11" s="1477">
        <f t="shared" ref="D11:D70" si="35">C11</f>
        <v>295.64366128242779</v>
      </c>
      <c r="E11" s="1477">
        <f t="shared" ref="E11:F13" si="36">E10/(1+P10)</f>
        <v>525.06646410938095</v>
      </c>
      <c r="F11" s="1477">
        <f t="shared" si="36"/>
        <v>261.88835286009646</v>
      </c>
      <c r="G11" s="3377"/>
      <c r="H11" s="1464">
        <v>3</v>
      </c>
      <c r="I11" s="1464">
        <v>4.12</v>
      </c>
      <c r="J11" s="1464">
        <v>2</v>
      </c>
      <c r="K11" s="1464">
        <v>4.79</v>
      </c>
      <c r="L11" s="1478">
        <v>1.97</v>
      </c>
      <c r="N11" s="1472">
        <f t="shared" ref="N11:Q45" si="37">I11/100</f>
        <v>4.1200000000000001E-2</v>
      </c>
      <c r="O11" s="1473">
        <f t="shared" si="32"/>
        <v>0.02</v>
      </c>
      <c r="P11" s="1473">
        <f t="shared" si="32"/>
        <v>4.7899999999999998E-2</v>
      </c>
      <c r="Q11" s="1473">
        <f t="shared" si="32"/>
        <v>1.9699999999999999E-2</v>
      </c>
      <c r="R11" s="1474"/>
      <c r="S11" s="1472"/>
      <c r="T11" s="1473"/>
      <c r="U11" s="1473"/>
      <c r="V11" s="1473"/>
      <c r="X11" s="1459">
        <f>ROUND(SUMPRODUCT(PRODUCT(1+N11:N$20)),4)</f>
        <v>1.2184999999999999</v>
      </c>
      <c r="Y11" s="1459">
        <f>ROUND(SUMPRODUCT(PRODUCT(1+O11:O$20)),4)</f>
        <v>1.1494</v>
      </c>
      <c r="Z11" s="1459">
        <f t="shared" si="0"/>
        <v>1.1494</v>
      </c>
      <c r="AA11" s="1459">
        <f>ROUND(SUMPRODUCT(PRODUCT(1+P11:P$20)),4)</f>
        <v>1.2425999999999999</v>
      </c>
      <c r="AB11" s="1459">
        <f>ROUND(SUMPRODUCT(PRODUCT(1+Q11:Q$20)),4)</f>
        <v>1.1372</v>
      </c>
      <c r="AD11" s="1460">
        <f>ROUND(AVERAGE(I11:I$21)/100,4)</f>
        <v>2.0899999999999998E-2</v>
      </c>
      <c r="AE11" s="1460">
        <f>ROUND(AVERAGE(J11:J$21)/100,4)</f>
        <v>1.49E-2</v>
      </c>
      <c r="AF11" s="1460">
        <f t="shared" si="1"/>
        <v>1.49E-2</v>
      </c>
      <c r="AG11" s="1460">
        <f>ROUND(AVERAGE(K11:K$21)/100,4)</f>
        <v>2.3099999999999999E-2</v>
      </c>
      <c r="AH11" s="1460">
        <f>ROUND(AVERAGE(L11:L$21)/100,4)</f>
        <v>1.2999999999999999E-2</v>
      </c>
    </row>
    <row r="12" spans="1:34">
      <c r="A12" s="1461" t="s">
        <v>143</v>
      </c>
      <c r="B12" s="1477">
        <f t="shared" si="34"/>
        <v>360.06949782209392</v>
      </c>
      <c r="C12" s="1477">
        <f t="shared" si="34"/>
        <v>289.84672674747821</v>
      </c>
      <c r="D12" s="1477">
        <f t="shared" si="35"/>
        <v>289.84672674747821</v>
      </c>
      <c r="E12" s="1477">
        <f t="shared" si="36"/>
        <v>501.06543001181495</v>
      </c>
      <c r="F12" s="1477">
        <f t="shared" si="36"/>
        <v>256.82882500744967</v>
      </c>
      <c r="G12" s="3377"/>
      <c r="H12" s="1465">
        <v>2</v>
      </c>
      <c r="I12" s="1465">
        <v>3.85</v>
      </c>
      <c r="J12" s="1465">
        <v>1.95</v>
      </c>
      <c r="K12" s="1465">
        <v>4.4800000000000004</v>
      </c>
      <c r="L12" s="1479">
        <v>1.41</v>
      </c>
      <c r="N12" s="1472">
        <f t="shared" si="37"/>
        <v>3.85E-2</v>
      </c>
      <c r="O12" s="1473">
        <f t="shared" si="32"/>
        <v>1.95E-2</v>
      </c>
      <c r="P12" s="1473">
        <f t="shared" si="32"/>
        <v>4.4800000000000006E-2</v>
      </c>
      <c r="Q12" s="1473">
        <f t="shared" si="32"/>
        <v>1.41E-2</v>
      </c>
      <c r="R12" s="1474"/>
      <c r="S12" s="1472"/>
      <c r="T12" s="1473"/>
      <c r="U12" s="1473"/>
      <c r="V12" s="1473"/>
      <c r="X12" s="1459">
        <f>ROUND(SUMPRODUCT(PRODUCT(1+N12:N$20)),4)</f>
        <v>1.1702999999999999</v>
      </c>
      <c r="Y12" s="1459">
        <f>ROUND(SUMPRODUCT(PRODUCT(1+O12:O$20)),4)</f>
        <v>1.1269</v>
      </c>
      <c r="Z12" s="1459">
        <f t="shared" si="0"/>
        <v>1.1269</v>
      </c>
      <c r="AA12" s="1459">
        <f>ROUND(SUMPRODUCT(PRODUCT(1+P12:P$20)),4)</f>
        <v>1.1858</v>
      </c>
      <c r="AB12" s="1459">
        <f>ROUND(SUMPRODUCT(PRODUCT(1+Q12:Q$20)),4)</f>
        <v>1.1152</v>
      </c>
      <c r="AD12" s="1460">
        <f>ROUND(AVERAGE(I12:I$21)/100,4)</f>
        <v>1.89E-2</v>
      </c>
      <c r="AE12" s="1460">
        <f>ROUND(AVERAGE(J12:J$21)/100,4)</f>
        <v>1.44E-2</v>
      </c>
      <c r="AF12" s="1460">
        <f t="shared" si="1"/>
        <v>1.44E-2</v>
      </c>
      <c r="AG12" s="1460">
        <f>ROUND(AVERAGE(K12:K$21)/100,4)</f>
        <v>2.06E-2</v>
      </c>
      <c r="AH12" s="1460">
        <f>ROUND(AVERAGE(L12:L$21)/100,4)</f>
        <v>1.23E-2</v>
      </c>
    </row>
    <row r="13" spans="1:34" ht="13.5" thickBot="1">
      <c r="A13" s="1461" t="s">
        <v>152</v>
      </c>
      <c r="B13" s="1477">
        <f t="shared" si="34"/>
        <v>346.720748986128</v>
      </c>
      <c r="C13" s="1477">
        <f t="shared" si="34"/>
        <v>284.30282172386285</v>
      </c>
      <c r="D13" s="1477">
        <f t="shared" si="35"/>
        <v>284.30282172386285</v>
      </c>
      <c r="E13" s="1477">
        <f t="shared" si="36"/>
        <v>479.58023546306947</v>
      </c>
      <c r="F13" s="1477">
        <f t="shared" si="36"/>
        <v>253.25788877571213</v>
      </c>
      <c r="G13" s="3378"/>
      <c r="H13" s="1464">
        <v>1</v>
      </c>
      <c r="I13" s="1464">
        <v>4.09</v>
      </c>
      <c r="J13" s="1464">
        <v>2.93</v>
      </c>
      <c r="K13" s="1464">
        <v>4.54</v>
      </c>
      <c r="L13" s="1478">
        <v>1.48</v>
      </c>
      <c r="N13" s="1472">
        <f t="shared" si="37"/>
        <v>4.0899999999999999E-2</v>
      </c>
      <c r="O13" s="1473">
        <f t="shared" si="32"/>
        <v>2.9300000000000003E-2</v>
      </c>
      <c r="P13" s="1473">
        <f t="shared" si="32"/>
        <v>4.5400000000000003E-2</v>
      </c>
      <c r="Q13" s="1473">
        <f t="shared" si="32"/>
        <v>1.4800000000000001E-2</v>
      </c>
      <c r="R13" s="1474"/>
      <c r="S13" s="1480">
        <f>B13/B14-1</f>
        <v>4.1203450408792808E-2</v>
      </c>
      <c r="T13" s="1481">
        <f>C13/C14-1</f>
        <v>2.6363977342465095E-2</v>
      </c>
      <c r="U13" s="1481">
        <f>E13/E14-1</f>
        <v>4.4837114298626357E-2</v>
      </c>
      <c r="V13" s="1481">
        <f>F13/F14-1</f>
        <v>1.7099954922538574E-2</v>
      </c>
      <c r="X13" s="1459">
        <f>ROUND(SUMPRODUCT(PRODUCT(1+N13:N$20)),4)</f>
        <v>1.1269</v>
      </c>
      <c r="Y13" s="1459">
        <f>ROUND(SUMPRODUCT(PRODUCT(1+O13:O$20)),4)</f>
        <v>1.1052999999999999</v>
      </c>
      <c r="Z13" s="1459">
        <f t="shared" si="0"/>
        <v>1.1052999999999999</v>
      </c>
      <c r="AA13" s="1459">
        <f>ROUND(SUMPRODUCT(PRODUCT(1+P13:P$20)),4)</f>
        <v>1.1349</v>
      </c>
      <c r="AB13" s="1459">
        <f>ROUND(SUMPRODUCT(PRODUCT(1+Q13:Q$20)),4)</f>
        <v>1.0996999999999999</v>
      </c>
      <c r="AD13" s="1460">
        <f>ROUND(AVERAGE(I13:I$21)/100,4)</f>
        <v>1.67E-2</v>
      </c>
      <c r="AE13" s="1460">
        <f>ROUND(AVERAGE(J13:J$21)/100,4)</f>
        <v>1.38E-2</v>
      </c>
      <c r="AF13" s="1460">
        <f t="shared" si="1"/>
        <v>1.38E-2</v>
      </c>
      <c r="AG13" s="1460">
        <f>ROUND(AVERAGE(K13:K$21)/100,4)</f>
        <v>1.7899999999999999E-2</v>
      </c>
      <c r="AH13" s="1460">
        <f>ROUND(AVERAGE(L13:L$21)/100,4)</f>
        <v>1.21E-2</v>
      </c>
    </row>
    <row r="14" spans="1:34" ht="13.5" thickBot="1">
      <c r="A14" s="1461" t="s">
        <v>151</v>
      </c>
      <c r="B14" s="1469">
        <v>333</v>
      </c>
      <c r="C14" s="1469">
        <v>277</v>
      </c>
      <c r="D14" s="1469">
        <f t="shared" si="35"/>
        <v>277</v>
      </c>
      <c r="E14" s="1469">
        <v>459</v>
      </c>
      <c r="F14" s="1470">
        <v>249</v>
      </c>
      <c r="G14" s="3376">
        <v>2015</v>
      </c>
      <c r="H14" s="1482">
        <v>4</v>
      </c>
      <c r="I14" s="1482">
        <v>1.63</v>
      </c>
      <c r="J14" s="1482">
        <v>1.1100000000000001</v>
      </c>
      <c r="K14" s="1482">
        <v>1.77</v>
      </c>
      <c r="L14" s="1483">
        <v>1.89</v>
      </c>
      <c r="N14" s="1484">
        <f t="shared" si="37"/>
        <v>1.6299999999999999E-2</v>
      </c>
      <c r="O14" s="1485">
        <f t="shared" si="32"/>
        <v>1.11E-2</v>
      </c>
      <c r="P14" s="1485">
        <f t="shared" si="32"/>
        <v>1.77E-2</v>
      </c>
      <c r="Q14" s="1485">
        <f t="shared" si="32"/>
        <v>1.89E-2</v>
      </c>
      <c r="R14" s="1474"/>
      <c r="X14" s="1459">
        <f>ROUND(SUMPRODUCT(PRODUCT(1+N14:N$20)),4)</f>
        <v>1.0826</v>
      </c>
      <c r="Y14" s="1459">
        <f>ROUND(SUMPRODUCT(PRODUCT(1+O14:O$20)),4)</f>
        <v>1.0738000000000001</v>
      </c>
      <c r="Z14" s="1459">
        <f t="shared" si="0"/>
        <v>1.0738000000000001</v>
      </c>
      <c r="AA14" s="1459">
        <f>ROUND(SUMPRODUCT(PRODUCT(1+P14:P$20)),4)</f>
        <v>1.0855999999999999</v>
      </c>
      <c r="AB14" s="1459">
        <f>ROUND(SUMPRODUCT(PRODUCT(1+Q14:Q$20)),4)</f>
        <v>1.0837000000000001</v>
      </c>
      <c r="AD14" s="1460">
        <f>ROUND(AVERAGE(I14:I$21)/100,4)</f>
        <v>1.37E-2</v>
      </c>
      <c r="AE14" s="1460">
        <f>ROUND(AVERAGE(J14:J$21)/100,4)</f>
        <v>1.1900000000000001E-2</v>
      </c>
      <c r="AF14" s="1460">
        <f t="shared" si="1"/>
        <v>1.1900000000000001E-2</v>
      </c>
      <c r="AG14" s="1460">
        <f>ROUND(AVERAGE(K14:K$21)/100,4)</f>
        <v>1.4500000000000001E-2</v>
      </c>
      <c r="AH14" s="1460">
        <f>ROUND(AVERAGE(L14:L$21)/100,4)</f>
        <v>1.18E-2</v>
      </c>
    </row>
    <row r="15" spans="1:34">
      <c r="A15" s="1461" t="s">
        <v>150</v>
      </c>
      <c r="B15" s="1477">
        <f t="shared" ref="B15:C17" si="38">B14/(1+N14)</f>
        <v>327.65915576109415</v>
      </c>
      <c r="C15" s="1477">
        <f t="shared" si="38"/>
        <v>273.95905449510434</v>
      </c>
      <c r="D15" s="1477">
        <f t="shared" si="35"/>
        <v>273.95905449510434</v>
      </c>
      <c r="E15" s="1477">
        <f t="shared" ref="E15:F17" si="39">E14/(1+P14)</f>
        <v>451.01699911565294</v>
      </c>
      <c r="F15" s="1477">
        <f t="shared" si="39"/>
        <v>244.38119540681129</v>
      </c>
      <c r="G15" s="3377"/>
      <c r="H15" s="1487">
        <v>3</v>
      </c>
      <c r="I15" s="1487">
        <v>1.65</v>
      </c>
      <c r="J15" s="1487">
        <v>0.92</v>
      </c>
      <c r="K15" s="1487">
        <v>1.88</v>
      </c>
      <c r="L15" s="1488">
        <v>1.26</v>
      </c>
      <c r="N15" s="1472">
        <f t="shared" si="37"/>
        <v>1.6500000000000001E-2</v>
      </c>
      <c r="O15" s="1489">
        <f t="shared" si="32"/>
        <v>9.1999999999999998E-3</v>
      </c>
      <c r="P15" s="1489">
        <f t="shared" si="32"/>
        <v>1.8799999999999997E-2</v>
      </c>
      <c r="Q15" s="1489">
        <f t="shared" si="32"/>
        <v>1.26E-2</v>
      </c>
      <c r="R15" s="1474"/>
      <c r="S15" s="1472"/>
      <c r="T15" s="1473"/>
      <c r="U15" s="1473"/>
      <c r="V15" s="1473"/>
      <c r="X15" s="1459">
        <f>ROUND(SUMPRODUCT(PRODUCT(1+N15:N$20)),4)</f>
        <v>1.0651999999999999</v>
      </c>
      <c r="Y15" s="1459">
        <f>ROUND(SUMPRODUCT(PRODUCT(1+O15:O$20)),4)</f>
        <v>1.0621</v>
      </c>
      <c r="Z15" s="1459">
        <f t="shared" si="0"/>
        <v>1.0621</v>
      </c>
      <c r="AA15" s="1459">
        <f>ROUND(SUMPRODUCT(PRODUCT(1+P15:P$20)),4)</f>
        <v>1.0668</v>
      </c>
      <c r="AB15" s="1459">
        <f>ROUND(SUMPRODUCT(PRODUCT(1+Q15:Q$20)),4)</f>
        <v>1.0636000000000001</v>
      </c>
      <c r="AD15" s="1460">
        <f>ROUND(AVERAGE(I15:I$21)/100,4)</f>
        <v>1.3299999999999999E-2</v>
      </c>
      <c r="AE15" s="1460">
        <f>ROUND(AVERAGE(J15:J$21)/100,4)</f>
        <v>1.2E-2</v>
      </c>
      <c r="AF15" s="1460">
        <f t="shared" si="1"/>
        <v>1.2E-2</v>
      </c>
      <c r="AG15" s="1460">
        <f>ROUND(AVERAGE(K15:K$21)/100,4)</f>
        <v>1.4E-2</v>
      </c>
      <c r="AH15" s="1460">
        <f>ROUND(AVERAGE(L15:L$21)/100,4)</f>
        <v>1.0800000000000001E-2</v>
      </c>
    </row>
    <row r="16" spans="1:34">
      <c r="A16" s="1461" t="s">
        <v>149</v>
      </c>
      <c r="B16" s="1477">
        <f t="shared" si="38"/>
        <v>322.34053690220776</v>
      </c>
      <c r="C16" s="1477">
        <f t="shared" si="38"/>
        <v>271.46160770422546</v>
      </c>
      <c r="D16" s="1477">
        <f t="shared" si="35"/>
        <v>271.46160770422546</v>
      </c>
      <c r="E16" s="1477">
        <f t="shared" si="39"/>
        <v>442.69434542172456</v>
      </c>
      <c r="F16" s="1477">
        <f t="shared" si="39"/>
        <v>241.34030753190925</v>
      </c>
      <c r="G16" s="3377"/>
      <c r="H16" s="1465">
        <v>2</v>
      </c>
      <c r="I16" s="1465">
        <v>0.77</v>
      </c>
      <c r="J16" s="1465">
        <v>0.69</v>
      </c>
      <c r="K16" s="1465">
        <v>0.8</v>
      </c>
      <c r="L16" s="1479">
        <v>0.88</v>
      </c>
      <c r="N16" s="1472">
        <f t="shared" si="37"/>
        <v>7.7000000000000002E-3</v>
      </c>
      <c r="O16" s="1489">
        <f t="shared" si="32"/>
        <v>6.8999999999999999E-3</v>
      </c>
      <c r="P16" s="1489">
        <f t="shared" si="32"/>
        <v>8.0000000000000002E-3</v>
      </c>
      <c r="Q16" s="1489">
        <f t="shared" si="32"/>
        <v>8.8000000000000005E-3</v>
      </c>
      <c r="R16" s="1474"/>
      <c r="S16" s="1472"/>
      <c r="T16" s="1473"/>
      <c r="U16" s="1473"/>
      <c r="V16" s="1473"/>
      <c r="X16" s="1459">
        <f>ROUND(SUMPRODUCT(PRODUCT(1+N16:N$20)),4)</f>
        <v>1.048</v>
      </c>
      <c r="Y16" s="1459">
        <f>ROUND(SUMPRODUCT(PRODUCT(1+O16:O$20)),4)</f>
        <v>1.0524</v>
      </c>
      <c r="Z16" s="1459">
        <f t="shared" si="0"/>
        <v>1.0524</v>
      </c>
      <c r="AA16" s="1459">
        <f>ROUND(SUMPRODUCT(PRODUCT(1+P16:P$20)),4)</f>
        <v>1.0470999999999999</v>
      </c>
      <c r="AB16" s="1459">
        <f>ROUND(SUMPRODUCT(PRODUCT(1+Q16:Q$20)),4)</f>
        <v>1.0504</v>
      </c>
      <c r="AD16" s="1460">
        <f>ROUND(AVERAGE(I16:I$21)/100,4)</f>
        <v>1.2800000000000001E-2</v>
      </c>
      <c r="AE16" s="1460">
        <f>ROUND(AVERAGE(J16:J$21)/100,4)</f>
        <v>1.2500000000000001E-2</v>
      </c>
      <c r="AF16" s="1460">
        <f t="shared" si="1"/>
        <v>1.2500000000000001E-2</v>
      </c>
      <c r="AG16" s="1460">
        <f>ROUND(AVERAGE(K16:K$21)/100,4)</f>
        <v>1.32E-2</v>
      </c>
      <c r="AH16" s="1460">
        <f>ROUND(AVERAGE(L16:L$21)/100,4)</f>
        <v>1.0500000000000001E-2</v>
      </c>
    </row>
    <row r="17" spans="1:34">
      <c r="A17" s="1461" t="s">
        <v>148</v>
      </c>
      <c r="B17" s="1477">
        <f t="shared" si="38"/>
        <v>319.87748030386797</v>
      </c>
      <c r="C17" s="1477">
        <f t="shared" si="38"/>
        <v>269.60135833173649</v>
      </c>
      <c r="D17" s="1477">
        <f t="shared" si="35"/>
        <v>269.60135833173649</v>
      </c>
      <c r="E17" s="1477">
        <f t="shared" si="39"/>
        <v>439.18089823583784</v>
      </c>
      <c r="F17" s="1477">
        <f t="shared" si="39"/>
        <v>239.23503918706311</v>
      </c>
      <c r="G17" s="3378"/>
      <c r="H17" s="1464">
        <v>1</v>
      </c>
      <c r="I17" s="1464">
        <v>0.51</v>
      </c>
      <c r="J17" s="1464">
        <v>0.54</v>
      </c>
      <c r="K17" s="1464">
        <v>0.48</v>
      </c>
      <c r="L17" s="1478">
        <v>0.93</v>
      </c>
      <c r="N17" s="1480">
        <f t="shared" si="37"/>
        <v>5.1000000000000004E-3</v>
      </c>
      <c r="O17" s="1481">
        <f t="shared" si="32"/>
        <v>5.4000000000000003E-3</v>
      </c>
      <c r="P17" s="1481">
        <f t="shared" si="32"/>
        <v>4.7999999999999996E-3</v>
      </c>
      <c r="Q17" s="1481">
        <f t="shared" si="32"/>
        <v>9.300000000000001E-3</v>
      </c>
      <c r="R17" s="1474"/>
      <c r="S17" s="1480">
        <f>B17/B18-1</f>
        <v>5.9040261127922822E-3</v>
      </c>
      <c r="T17" s="1481">
        <f>C17/C18-1</f>
        <v>5.9752176557332781E-3</v>
      </c>
      <c r="U17" s="1481">
        <f>E17/E18-1</f>
        <v>4.9906138119859556E-3</v>
      </c>
      <c r="V17" s="1481">
        <f>F17/F18-1</f>
        <v>9.4305450930933787E-3</v>
      </c>
      <c r="X17" s="1459">
        <f>ROUND(SUMPRODUCT(PRODUCT(1+N17:N$20)),4)</f>
        <v>1.0399</v>
      </c>
      <c r="Y17" s="1459">
        <f>ROUND(SUMPRODUCT(PRODUCT(1+O17:O$20)),4)</f>
        <v>1.0451999999999999</v>
      </c>
      <c r="Z17" s="1459">
        <f t="shared" si="0"/>
        <v>1.0451999999999999</v>
      </c>
      <c r="AA17" s="1459">
        <f>ROUND(SUMPRODUCT(PRODUCT(1+P17:P$20)),4)</f>
        <v>1.0387999999999999</v>
      </c>
      <c r="AB17" s="1459">
        <f>ROUND(SUMPRODUCT(PRODUCT(1+Q17:Q$20)),4)</f>
        <v>1.0411999999999999</v>
      </c>
      <c r="AD17" s="1460">
        <f>ROUND(AVERAGE(I17:I$21)/100,4)</f>
        <v>1.38E-2</v>
      </c>
      <c r="AE17" s="1460">
        <f>ROUND(AVERAGE(J17:J$21)/100,4)</f>
        <v>1.3599999999999999E-2</v>
      </c>
      <c r="AF17" s="1460">
        <f t="shared" si="1"/>
        <v>1.3599999999999999E-2</v>
      </c>
      <c r="AG17" s="1460">
        <f>ROUND(AVERAGE(K17:K$21)/100,4)</f>
        <v>1.4200000000000001E-2</v>
      </c>
      <c r="AH17" s="1460">
        <f>ROUND(AVERAGE(L17:L$21)/100,4)</f>
        <v>1.0800000000000001E-2</v>
      </c>
    </row>
    <row r="18" spans="1:34" ht="13.5" thickBot="1">
      <c r="A18" s="1461" t="s">
        <v>147</v>
      </c>
      <c r="B18" s="1490">
        <v>318</v>
      </c>
      <c r="C18" s="1490">
        <v>268</v>
      </c>
      <c r="D18" s="1490">
        <f t="shared" si="35"/>
        <v>268</v>
      </c>
      <c r="E18" s="1490">
        <v>437</v>
      </c>
      <c r="F18" s="1491">
        <v>237</v>
      </c>
      <c r="G18" s="3376">
        <v>2014</v>
      </c>
      <c r="H18" s="1482">
        <v>4</v>
      </c>
      <c r="I18" s="1482">
        <v>0.21</v>
      </c>
      <c r="J18" s="1482">
        <v>0.41</v>
      </c>
      <c r="K18" s="1482">
        <v>0.12</v>
      </c>
      <c r="L18" s="1483">
        <v>0.89</v>
      </c>
      <c r="N18" s="1472">
        <f t="shared" si="37"/>
        <v>2.0999999999999999E-3</v>
      </c>
      <c r="O18" s="1473">
        <f t="shared" si="32"/>
        <v>4.0999999999999995E-3</v>
      </c>
      <c r="P18" s="1473">
        <f t="shared" si="32"/>
        <v>1.1999999999999999E-3</v>
      </c>
      <c r="Q18" s="1473">
        <f t="shared" si="32"/>
        <v>8.8999999999999999E-3</v>
      </c>
      <c r="R18" s="1474"/>
      <c r="S18" s="1475"/>
      <c r="T18" s="1476"/>
      <c r="U18" s="1476"/>
      <c r="V18" s="1476"/>
      <c r="X18" s="1459">
        <f>ROUND(SUMPRODUCT(PRODUCT(1+N18:N$20)),4)</f>
        <v>1.0347</v>
      </c>
      <c r="Y18" s="1459">
        <f>ROUND(SUMPRODUCT(PRODUCT(1+O18:O$20)),4)</f>
        <v>1.0395000000000001</v>
      </c>
      <c r="Z18" s="1459">
        <f t="shared" si="0"/>
        <v>1.0395000000000001</v>
      </c>
      <c r="AA18" s="1459">
        <f>ROUND(SUMPRODUCT(PRODUCT(1+P18:P$20)),4)</f>
        <v>1.0338000000000001</v>
      </c>
      <c r="AB18" s="1459">
        <f>ROUND(SUMPRODUCT(PRODUCT(1+Q18:Q$20)),4)</f>
        <v>1.0316000000000001</v>
      </c>
      <c r="AD18" s="1460">
        <f>ROUND(AVERAGE(I18:I$21)/100,4)</f>
        <v>1.6E-2</v>
      </c>
      <c r="AE18" s="1460">
        <f>ROUND(AVERAGE(J18:J$21)/100,4)</f>
        <v>1.5599999999999999E-2</v>
      </c>
      <c r="AF18" s="1460">
        <f t="shared" si="1"/>
        <v>1.5599999999999999E-2</v>
      </c>
      <c r="AG18" s="1460">
        <f>ROUND(AVERAGE(K18:K$21)/100,4)</f>
        <v>1.66E-2</v>
      </c>
      <c r="AH18" s="1460">
        <f>ROUND(AVERAGE(L18:L$21)/100,4)</f>
        <v>1.12E-2</v>
      </c>
    </row>
    <row r="19" spans="1:34">
      <c r="A19" s="1461" t="s">
        <v>146</v>
      </c>
      <c r="B19" s="1477">
        <f t="shared" ref="B19:C21" si="40">B18/(1+N18)</f>
        <v>317.33359944117353</v>
      </c>
      <c r="C19" s="1477">
        <f t="shared" si="40"/>
        <v>266.90568668459315</v>
      </c>
      <c r="D19" s="1477">
        <f t="shared" si="35"/>
        <v>266.90568668459315</v>
      </c>
      <c r="E19" s="1477">
        <f t="shared" ref="E19:F21" si="41">E18/(1+P18)</f>
        <v>436.47622852576905</v>
      </c>
      <c r="F19" s="1477">
        <f t="shared" si="41"/>
        <v>234.90930716622066</v>
      </c>
      <c r="G19" s="3377"/>
      <c r="H19" s="1492">
        <v>3</v>
      </c>
      <c r="I19" s="1492">
        <v>0.83</v>
      </c>
      <c r="J19" s="1492">
        <v>1.47</v>
      </c>
      <c r="K19" s="1492">
        <v>0.65</v>
      </c>
      <c r="L19" s="1493">
        <v>0.72</v>
      </c>
      <c r="N19" s="1472">
        <f t="shared" si="37"/>
        <v>8.3000000000000001E-3</v>
      </c>
      <c r="O19" s="1473">
        <f t="shared" si="32"/>
        <v>1.47E-2</v>
      </c>
      <c r="P19" s="1473">
        <f t="shared" si="32"/>
        <v>6.5000000000000006E-3</v>
      </c>
      <c r="Q19" s="1473">
        <f t="shared" si="32"/>
        <v>7.1999999999999998E-3</v>
      </c>
      <c r="R19" s="1474"/>
      <c r="S19" s="1472"/>
      <c r="T19" s="1473"/>
      <c r="U19" s="1473"/>
      <c r="V19" s="1473"/>
      <c r="X19" s="1459">
        <f>ROUND(SUMPRODUCT(PRODUCT(1+N19:N$20)),4)</f>
        <v>1.0325</v>
      </c>
      <c r="Y19" s="1459">
        <f>ROUND(SUMPRODUCT(PRODUCT(1+O19:O$20)),4)</f>
        <v>1.0353000000000001</v>
      </c>
      <c r="Z19" s="1459">
        <f t="shared" ref="Z19:Z20" si="42">Y19</f>
        <v>1.0353000000000001</v>
      </c>
      <c r="AA19" s="1459">
        <f>ROUND(SUMPRODUCT(PRODUCT(1+P19:P$20)),4)</f>
        <v>1.0326</v>
      </c>
      <c r="AB19" s="1459">
        <f>ROUND(SUMPRODUCT(PRODUCT(1+Q19:Q$20)),4)</f>
        <v>1.0225</v>
      </c>
      <c r="AD19" s="1460">
        <f>ROUND(AVERAGE(I19:I$21)/100,4)</f>
        <v>2.07E-2</v>
      </c>
      <c r="AE19" s="1460">
        <f>ROUND(AVERAGE(J19:J$21)/100,4)</f>
        <v>1.95E-2</v>
      </c>
      <c r="AF19" s="1460">
        <f t="shared" si="1"/>
        <v>1.95E-2</v>
      </c>
      <c r="AG19" s="1460">
        <f>ROUND(AVERAGE(K19:K$21)/100,4)</f>
        <v>2.1700000000000001E-2</v>
      </c>
      <c r="AH19" s="1460">
        <f>ROUND(AVERAGE(L19:L$21)/100,4)</f>
        <v>1.2E-2</v>
      </c>
    </row>
    <row r="20" spans="1:34" ht="13.5" thickBot="1">
      <c r="A20" s="1461" t="s">
        <v>145</v>
      </c>
      <c r="B20" s="1477">
        <f t="shared" si="40"/>
        <v>314.72141172386546</v>
      </c>
      <c r="C20" s="1477">
        <f t="shared" si="40"/>
        <v>263.03901319069001</v>
      </c>
      <c r="D20" s="1477">
        <f t="shared" si="35"/>
        <v>263.03901319069001</v>
      </c>
      <c r="E20" s="1477">
        <f t="shared" si="41"/>
        <v>433.65745506782821</v>
      </c>
      <c r="F20" s="1477">
        <f t="shared" si="41"/>
        <v>233.23005080045735</v>
      </c>
      <c r="G20" s="3377"/>
      <c r="H20" s="1482">
        <v>2</v>
      </c>
      <c r="I20" s="1482">
        <v>2.4</v>
      </c>
      <c r="J20" s="1482">
        <v>2.0299999999999998</v>
      </c>
      <c r="K20" s="1482">
        <v>2.59</v>
      </c>
      <c r="L20" s="1483">
        <v>1.52</v>
      </c>
      <c r="N20" s="1472">
        <f t="shared" si="37"/>
        <v>2.4E-2</v>
      </c>
      <c r="O20" s="1473">
        <f t="shared" si="32"/>
        <v>2.0299999999999999E-2</v>
      </c>
      <c r="P20" s="1473">
        <f t="shared" si="32"/>
        <v>2.5899999999999999E-2</v>
      </c>
      <c r="Q20" s="1473">
        <f t="shared" si="32"/>
        <v>1.52E-2</v>
      </c>
      <c r="R20" s="1474"/>
      <c r="S20" s="1472"/>
      <c r="T20" s="1473"/>
      <c r="U20" s="1473"/>
      <c r="V20" s="1473"/>
      <c r="X20" s="1459">
        <f>1+N20</f>
        <v>1.024</v>
      </c>
      <c r="Y20" s="1459">
        <f>1+O20</f>
        <v>1.0203</v>
      </c>
      <c r="Z20" s="1459">
        <f t="shared" si="42"/>
        <v>1.0203</v>
      </c>
      <c r="AA20" s="1459">
        <f>1+P20</f>
        <v>1.0259</v>
      </c>
      <c r="AB20" s="1459">
        <f>1+Q20</f>
        <v>1.0152000000000001</v>
      </c>
      <c r="AD20" s="1460">
        <f>ROUND(AVERAGE(I20:I$21)/100,4)</f>
        <v>2.69E-2</v>
      </c>
      <c r="AE20" s="1460">
        <f>ROUND(AVERAGE(J20:J$21)/100,4)</f>
        <v>2.1899999999999999E-2</v>
      </c>
      <c r="AF20" s="1460">
        <f t="shared" ref="AF20" si="43">AE20</f>
        <v>2.1899999999999999E-2</v>
      </c>
      <c r="AG20" s="1460">
        <f>ROUND(AVERAGE(K20:K$21)/100,4)</f>
        <v>2.9399999999999999E-2</v>
      </c>
      <c r="AH20" s="1460">
        <f>ROUND(AVERAGE(L20:L$21)/100,4)</f>
        <v>1.44E-2</v>
      </c>
    </row>
    <row r="21" spans="1:34" s="1498" customFormat="1" ht="13.5" thickBot="1">
      <c r="A21" s="1494" t="s">
        <v>144</v>
      </c>
      <c r="B21" s="1495">
        <f t="shared" si="40"/>
        <v>307.34512863658733</v>
      </c>
      <c r="C21" s="1495">
        <f t="shared" si="40"/>
        <v>257.80556031626975</v>
      </c>
      <c r="D21" s="1495">
        <f t="shared" si="35"/>
        <v>257.80556031626975</v>
      </c>
      <c r="E21" s="1495">
        <f t="shared" si="41"/>
        <v>422.70928459677179</v>
      </c>
      <c r="F21" s="1495">
        <f t="shared" si="41"/>
        <v>229.73803270336617</v>
      </c>
      <c r="G21" s="3378"/>
      <c r="H21" s="1496">
        <v>1</v>
      </c>
      <c r="I21" s="1496">
        <v>2.97</v>
      </c>
      <c r="J21" s="1496">
        <v>2.34</v>
      </c>
      <c r="K21" s="1496">
        <v>3.28</v>
      </c>
      <c r="L21" s="1497">
        <v>1.36</v>
      </c>
      <c r="N21" s="1499">
        <f t="shared" si="37"/>
        <v>2.9700000000000001E-2</v>
      </c>
      <c r="O21" s="1500">
        <f t="shared" si="32"/>
        <v>2.3399999999999997E-2</v>
      </c>
      <c r="P21" s="1500">
        <f t="shared" si="32"/>
        <v>3.2799999999999996E-2</v>
      </c>
      <c r="Q21" s="1500">
        <f t="shared" si="32"/>
        <v>1.3600000000000001E-2</v>
      </c>
      <c r="R21" s="1501"/>
      <c r="S21" s="1502">
        <f>B21/B22-1</f>
        <v>2.7910129219355539E-2</v>
      </c>
      <c r="T21" s="1503">
        <f>C21/C22-1</f>
        <v>2.3037937762975247E-2</v>
      </c>
      <c r="U21" s="1503">
        <f>E21/E22-1</f>
        <v>3.3519033243940788E-2</v>
      </c>
      <c r="V21" s="1503">
        <f>F21/F22-1</f>
        <v>1.2061818076502862E-2</v>
      </c>
      <c r="W21" s="1504" t="s">
        <v>1162</v>
      </c>
      <c r="X21" s="1505">
        <v>1</v>
      </c>
      <c r="Y21" s="1505">
        <v>1</v>
      </c>
      <c r="Z21" s="1505">
        <v>1</v>
      </c>
      <c r="AA21" s="1505">
        <v>1</v>
      </c>
      <c r="AB21" s="1505">
        <v>1</v>
      </c>
      <c r="AD21" s="1727">
        <f>I21/100</f>
        <v>2.9700000000000001E-2</v>
      </c>
      <c r="AE21" s="1727">
        <f>J21/100</f>
        <v>2.3399999999999997E-2</v>
      </c>
      <c r="AF21" s="1727">
        <f>AE21</f>
        <v>2.3399999999999997E-2</v>
      </c>
      <c r="AG21" s="1727">
        <f>K21/100</f>
        <v>3.2799999999999996E-2</v>
      </c>
      <c r="AH21" s="1727">
        <f>L21/100</f>
        <v>1.3600000000000001E-2</v>
      </c>
    </row>
    <row r="22" spans="1:34" ht="13.5" thickBot="1">
      <c r="A22" s="1461" t="s">
        <v>1163</v>
      </c>
      <c r="B22" s="1469">
        <v>299</v>
      </c>
      <c r="C22" s="1469">
        <v>252</v>
      </c>
      <c r="D22" s="1469">
        <f t="shared" si="35"/>
        <v>252</v>
      </c>
      <c r="E22" s="1469">
        <v>409</v>
      </c>
      <c r="F22" s="1470">
        <v>227</v>
      </c>
      <c r="G22" s="3383">
        <v>2013</v>
      </c>
      <c r="H22" s="1506">
        <v>4</v>
      </c>
      <c r="I22" s="1506">
        <v>1.83</v>
      </c>
      <c r="J22" s="1506">
        <v>1.68</v>
      </c>
      <c r="K22" s="1506">
        <v>1.97</v>
      </c>
      <c r="L22" s="1507">
        <v>0.87</v>
      </c>
      <c r="N22" s="1484">
        <f t="shared" si="37"/>
        <v>1.83E-2</v>
      </c>
      <c r="O22" s="1485">
        <f t="shared" si="32"/>
        <v>1.6799999999999999E-2</v>
      </c>
      <c r="P22" s="1485">
        <f t="shared" si="32"/>
        <v>1.9699999999999999E-2</v>
      </c>
      <c r="Q22" s="1485">
        <f t="shared" si="32"/>
        <v>8.6999999999999994E-3</v>
      </c>
      <c r="R22" s="1474"/>
      <c r="S22" s="1475"/>
      <c r="T22" s="1476"/>
      <c r="U22" s="1476"/>
      <c r="V22" s="1476"/>
      <c r="X22" s="1476"/>
      <c r="Y22" s="1476"/>
      <c r="Z22" s="1476"/>
    </row>
    <row r="23" spans="1:34">
      <c r="A23" s="1461" t="s">
        <v>1164</v>
      </c>
      <c r="B23" s="1477">
        <f t="shared" ref="B23:C25" si="44">B22/(1+N22)</f>
        <v>293.62663262299913</v>
      </c>
      <c r="C23" s="1477">
        <f t="shared" si="44"/>
        <v>247.83634933123525</v>
      </c>
      <c r="D23" s="1477">
        <f t="shared" si="35"/>
        <v>247.83634933123525</v>
      </c>
      <c r="E23" s="1477">
        <f t="shared" ref="E23:F25" si="45">E22/(1+P22)</f>
        <v>401.09836226341076</v>
      </c>
      <c r="F23" s="1477">
        <f t="shared" si="45"/>
        <v>225.04213343908003</v>
      </c>
      <c r="G23" s="3384"/>
      <c r="H23" s="1487">
        <v>3</v>
      </c>
      <c r="I23" s="1487">
        <v>1.86</v>
      </c>
      <c r="J23" s="1487">
        <v>1.72</v>
      </c>
      <c r="K23" s="1487">
        <v>1.98</v>
      </c>
      <c r="L23" s="1488">
        <v>0.88</v>
      </c>
      <c r="N23" s="1472">
        <f t="shared" si="37"/>
        <v>1.8600000000000002E-2</v>
      </c>
      <c r="O23" s="1489">
        <f t="shared" si="32"/>
        <v>1.72E-2</v>
      </c>
      <c r="P23" s="1489">
        <f t="shared" si="32"/>
        <v>1.9799999999999998E-2</v>
      </c>
      <c r="Q23" s="1489">
        <f t="shared" si="32"/>
        <v>8.8000000000000005E-3</v>
      </c>
      <c r="R23" s="1474"/>
      <c r="S23" s="1472"/>
      <c r="T23" s="1473"/>
      <c r="U23" s="1473"/>
      <c r="V23" s="1473"/>
    </row>
    <row r="24" spans="1:34">
      <c r="A24" s="1461" t="s">
        <v>1165</v>
      </c>
      <c r="B24" s="1477">
        <f t="shared" si="44"/>
        <v>288.2649053828776</v>
      </c>
      <c r="C24" s="1477">
        <f t="shared" si="44"/>
        <v>243.64564425013293</v>
      </c>
      <c r="D24" s="1477">
        <f t="shared" si="35"/>
        <v>243.64564425013293</v>
      </c>
      <c r="E24" s="1477">
        <f t="shared" si="45"/>
        <v>393.31080825986544</v>
      </c>
      <c r="F24" s="1477">
        <f t="shared" si="45"/>
        <v>223.07903790551154</v>
      </c>
      <c r="G24" s="3384"/>
      <c r="H24" s="1465">
        <v>2</v>
      </c>
      <c r="I24" s="1465">
        <v>2.04</v>
      </c>
      <c r="J24" s="1465">
        <v>2.33</v>
      </c>
      <c r="K24" s="1465">
        <v>2.0699999999999998</v>
      </c>
      <c r="L24" s="1479">
        <v>0.69</v>
      </c>
      <c r="N24" s="1472">
        <f t="shared" si="37"/>
        <v>2.0400000000000001E-2</v>
      </c>
      <c r="O24" s="1489">
        <f t="shared" si="32"/>
        <v>2.3300000000000001E-2</v>
      </c>
      <c r="P24" s="1489">
        <f t="shared" si="32"/>
        <v>2.07E-2</v>
      </c>
      <c r="Q24" s="1489">
        <f t="shared" si="32"/>
        <v>6.8999999999999999E-3</v>
      </c>
      <c r="R24" s="1474"/>
      <c r="S24" s="1472"/>
      <c r="T24" s="1473"/>
      <c r="U24" s="1473"/>
      <c r="V24" s="1473"/>
      <c r="X24" s="1508"/>
      <c r="Y24" s="1509"/>
    </row>
    <row r="25" spans="1:34">
      <c r="A25" s="1461" t="s">
        <v>1166</v>
      </c>
      <c r="B25" s="1477">
        <f t="shared" si="44"/>
        <v>282.50186729015837</v>
      </c>
      <c r="C25" s="1477">
        <f t="shared" si="44"/>
        <v>238.09796174155468</v>
      </c>
      <c r="D25" s="1477">
        <f t="shared" si="35"/>
        <v>238.09796174155468</v>
      </c>
      <c r="E25" s="1477">
        <f t="shared" si="45"/>
        <v>385.33438646014054</v>
      </c>
      <c r="F25" s="1477">
        <f t="shared" si="45"/>
        <v>221.55034055567739</v>
      </c>
      <c r="G25" s="3385"/>
      <c r="H25" s="1464">
        <v>1</v>
      </c>
      <c r="I25" s="1464">
        <v>1.67</v>
      </c>
      <c r="J25" s="1464">
        <v>1.31</v>
      </c>
      <c r="K25" s="1464">
        <v>1.85</v>
      </c>
      <c r="L25" s="1478">
        <v>0.96</v>
      </c>
      <c r="N25" s="1480">
        <f t="shared" si="37"/>
        <v>1.67E-2</v>
      </c>
      <c r="O25" s="1481">
        <f t="shared" si="37"/>
        <v>1.3100000000000001E-2</v>
      </c>
      <c r="P25" s="1481">
        <f t="shared" si="37"/>
        <v>1.8500000000000003E-2</v>
      </c>
      <c r="Q25" s="1481">
        <f t="shared" si="37"/>
        <v>9.5999999999999992E-3</v>
      </c>
      <c r="R25" s="1474"/>
      <c r="S25" s="1480">
        <f>B25/B26-1</f>
        <v>1.6193767230785472E-2</v>
      </c>
      <c r="T25" s="1481">
        <f>C25/C26-1</f>
        <v>1.7512657015190891E-2</v>
      </c>
      <c r="U25" s="1481">
        <f>E25/E26-1</f>
        <v>1.6713420739157048E-2</v>
      </c>
      <c r="V25" s="1481">
        <f>F25/F26-1</f>
        <v>7.0470025258062563E-3</v>
      </c>
      <c r="X25" s="1510"/>
      <c r="Y25" s="1460"/>
      <c r="Z25" s="1460"/>
    </row>
    <row r="26" spans="1:34" ht="13.5" thickBot="1">
      <c r="A26" s="1461" t="s">
        <v>1167</v>
      </c>
      <c r="B26" s="1511">
        <v>278</v>
      </c>
      <c r="C26" s="1511">
        <v>234</v>
      </c>
      <c r="D26" s="1511">
        <f t="shared" si="35"/>
        <v>234</v>
      </c>
      <c r="E26" s="1511">
        <v>379</v>
      </c>
      <c r="F26" s="1512">
        <v>220</v>
      </c>
      <c r="G26" s="3376">
        <v>2012</v>
      </c>
      <c r="H26" s="1482">
        <v>4</v>
      </c>
      <c r="I26" s="1482">
        <v>0.91</v>
      </c>
      <c r="J26" s="1482">
        <v>0.68</v>
      </c>
      <c r="K26" s="1482">
        <v>0.98</v>
      </c>
      <c r="L26" s="1483">
        <v>0.9</v>
      </c>
      <c r="N26" s="1472">
        <f t="shared" si="37"/>
        <v>9.1000000000000004E-3</v>
      </c>
      <c r="O26" s="1473">
        <f t="shared" si="37"/>
        <v>6.8000000000000005E-3</v>
      </c>
      <c r="P26" s="1473">
        <f t="shared" si="37"/>
        <v>9.7999999999999997E-3</v>
      </c>
      <c r="Q26" s="1473">
        <f t="shared" si="37"/>
        <v>9.0000000000000011E-3</v>
      </c>
      <c r="R26" s="1474"/>
      <c r="S26" s="1475"/>
      <c r="T26" s="1476"/>
      <c r="U26" s="1476"/>
      <c r="V26" s="1476"/>
      <c r="X26" s="1476"/>
      <c r="Y26" s="1476"/>
      <c r="Z26" s="1476"/>
    </row>
    <row r="27" spans="1:34">
      <c r="A27" s="1461" t="s">
        <v>1168</v>
      </c>
      <c r="B27" s="1477">
        <f>B26/(1+N26)</f>
        <v>275.49301357645425</v>
      </c>
      <c r="C27" s="1477">
        <f>C26/(1+O26)</f>
        <v>232.41954707985698</v>
      </c>
      <c r="D27" s="1477">
        <f t="shared" si="35"/>
        <v>232.41954707985698</v>
      </c>
      <c r="E27" s="1477">
        <f t="shared" ref="E27:F29" si="46">E26/(1+P26)</f>
        <v>375.32184591008121</v>
      </c>
      <c r="F27" s="1477">
        <f t="shared" si="46"/>
        <v>218.03766105054513</v>
      </c>
      <c r="G27" s="3377"/>
      <c r="H27" s="1487">
        <v>3</v>
      </c>
      <c r="I27" s="1487">
        <v>0.09</v>
      </c>
      <c r="J27" s="1487">
        <v>0.28999999999999998</v>
      </c>
      <c r="K27" s="1487">
        <v>-0.01</v>
      </c>
      <c r="L27" s="1488">
        <v>0.57999999999999996</v>
      </c>
      <c r="N27" s="1472">
        <f t="shared" si="37"/>
        <v>8.9999999999999998E-4</v>
      </c>
      <c r="O27" s="1473">
        <f t="shared" si="37"/>
        <v>2.8999999999999998E-3</v>
      </c>
      <c r="P27" s="1473">
        <f t="shared" si="37"/>
        <v>-1E-4</v>
      </c>
      <c r="Q27" s="1473">
        <f t="shared" si="37"/>
        <v>5.7999999999999996E-3</v>
      </c>
      <c r="R27" s="1474"/>
      <c r="S27" s="1472"/>
      <c r="T27" s="1473"/>
      <c r="U27" s="1473"/>
      <c r="V27" s="1473"/>
    </row>
    <row r="28" spans="1:34">
      <c r="A28" s="1461" t="s">
        <v>1169</v>
      </c>
      <c r="B28" s="1477">
        <f>B27/(1+N27)</f>
        <v>275.24529281292263</v>
      </c>
      <c r="C28" s="1477">
        <f>C27/(1+O27)</f>
        <v>231.74747938962707</v>
      </c>
      <c r="D28" s="1477">
        <f t="shared" si="35"/>
        <v>231.74747938962707</v>
      </c>
      <c r="E28" s="1477">
        <f t="shared" si="46"/>
        <v>375.35938184826603</v>
      </c>
      <c r="F28" s="1477">
        <f t="shared" si="46"/>
        <v>216.78033510692495</v>
      </c>
      <c r="G28" s="3377"/>
      <c r="H28" s="1465">
        <v>2</v>
      </c>
      <c r="I28" s="1465">
        <v>0.02</v>
      </c>
      <c r="J28" s="1465">
        <v>0.12</v>
      </c>
      <c r="K28" s="1465">
        <v>-0.08</v>
      </c>
      <c r="L28" s="1479">
        <v>1.24</v>
      </c>
      <c r="N28" s="1472">
        <f t="shared" si="37"/>
        <v>2.0000000000000001E-4</v>
      </c>
      <c r="O28" s="1473">
        <f t="shared" si="37"/>
        <v>1.1999999999999999E-3</v>
      </c>
      <c r="P28" s="1473">
        <f t="shared" si="37"/>
        <v>-8.0000000000000004E-4</v>
      </c>
      <c r="Q28" s="1473">
        <f t="shared" si="37"/>
        <v>1.24E-2</v>
      </c>
      <c r="R28" s="1474"/>
      <c r="S28" s="1472"/>
      <c r="T28" s="1473"/>
      <c r="U28" s="1473"/>
      <c r="V28" s="1473"/>
    </row>
    <row r="29" spans="1:34" ht="13.5" thickBot="1">
      <c r="A29" s="1461" t="s">
        <v>1170</v>
      </c>
      <c r="B29" s="1477">
        <f>B28/(1+N28)</f>
        <v>275.19025476197027</v>
      </c>
      <c r="C29" s="1513">
        <v>232</v>
      </c>
      <c r="D29" s="1513">
        <f t="shared" si="35"/>
        <v>232</v>
      </c>
      <c r="E29" s="1477">
        <f t="shared" si="46"/>
        <v>375.65990977608692</v>
      </c>
      <c r="F29" s="1477">
        <f t="shared" si="46"/>
        <v>214.12518283971252</v>
      </c>
      <c r="G29" s="3378"/>
      <c r="H29" s="1464">
        <v>1</v>
      </c>
      <c r="I29" s="1464">
        <v>0.02</v>
      </c>
      <c r="J29" s="1464">
        <v>0.13</v>
      </c>
      <c r="K29" s="1464">
        <v>-0.04</v>
      </c>
      <c r="L29" s="1478">
        <v>0.46</v>
      </c>
      <c r="N29" s="1472">
        <f t="shared" si="37"/>
        <v>2.0000000000000001E-4</v>
      </c>
      <c r="O29" s="1473">
        <f t="shared" si="37"/>
        <v>1.2999999999999999E-3</v>
      </c>
      <c r="P29" s="1473">
        <f t="shared" si="37"/>
        <v>-4.0000000000000002E-4</v>
      </c>
      <c r="Q29" s="1473">
        <f t="shared" si="37"/>
        <v>4.5999999999999999E-3</v>
      </c>
      <c r="R29" s="1474"/>
      <c r="S29" s="1480">
        <f>B29/B30-1</f>
        <v>6.9183549807361189E-4</v>
      </c>
      <c r="T29" s="1481">
        <f>C29/C30-1</f>
        <v>0</v>
      </c>
      <c r="U29" s="1481">
        <f>E29/E30-1</f>
        <v>-9.0449527636460303E-4</v>
      </c>
      <c r="V29" s="1481">
        <f>F29/F30-1</f>
        <v>5.2825485432512753E-3</v>
      </c>
      <c r="X29" s="1460"/>
      <c r="Y29" s="1460"/>
      <c r="Z29" s="1460"/>
    </row>
    <row r="30" spans="1:34" ht="13.5" thickBot="1">
      <c r="A30" s="1461" t="s">
        <v>1171</v>
      </c>
      <c r="B30" s="1469">
        <v>275</v>
      </c>
      <c r="C30" s="1469">
        <v>232</v>
      </c>
      <c r="D30" s="1469">
        <f t="shared" si="35"/>
        <v>232</v>
      </c>
      <c r="E30" s="1469">
        <v>376</v>
      </c>
      <c r="F30" s="1470">
        <v>213</v>
      </c>
      <c r="G30" s="3376">
        <v>2011</v>
      </c>
      <c r="H30" s="1482">
        <v>4</v>
      </c>
      <c r="I30" s="1482">
        <v>-0.2</v>
      </c>
      <c r="J30" s="1482">
        <v>0.04</v>
      </c>
      <c r="K30" s="1482">
        <v>-0.34</v>
      </c>
      <c r="L30" s="1483">
        <v>0.46</v>
      </c>
      <c r="N30" s="1484">
        <f t="shared" si="37"/>
        <v>-2E-3</v>
      </c>
      <c r="O30" s="1485">
        <f t="shared" si="37"/>
        <v>4.0000000000000002E-4</v>
      </c>
      <c r="P30" s="1485">
        <f t="shared" si="37"/>
        <v>-3.4000000000000002E-3</v>
      </c>
      <c r="Q30" s="1485">
        <f t="shared" si="37"/>
        <v>4.5999999999999999E-3</v>
      </c>
      <c r="R30" s="1474"/>
      <c r="S30" s="1475"/>
      <c r="T30" s="1476"/>
      <c r="U30" s="1476"/>
      <c r="V30" s="1476"/>
      <c r="X30" s="1476"/>
      <c r="Y30" s="1476"/>
      <c r="Z30" s="1476"/>
    </row>
    <row r="31" spans="1:34">
      <c r="A31" s="1461" t="s">
        <v>1172</v>
      </c>
      <c r="B31" s="1477">
        <f t="shared" ref="B31:C33" si="47">B30/(1+N30)</f>
        <v>275.55110220440883</v>
      </c>
      <c r="C31" s="1477">
        <f t="shared" si="47"/>
        <v>231.90723710515795</v>
      </c>
      <c r="D31" s="1477">
        <f t="shared" si="35"/>
        <v>231.90723710515795</v>
      </c>
      <c r="E31" s="1477">
        <f t="shared" ref="E31:F33" si="48">E30/(1+P30)</f>
        <v>377.28276138872161</v>
      </c>
      <c r="F31" s="1477">
        <f t="shared" si="48"/>
        <v>212.02468644236512</v>
      </c>
      <c r="G31" s="3377">
        <v>2011</v>
      </c>
      <c r="H31" s="1487">
        <v>3</v>
      </c>
      <c r="I31" s="1487">
        <v>0.13</v>
      </c>
      <c r="J31" s="1487">
        <v>0.75</v>
      </c>
      <c r="K31" s="1487">
        <v>-0.08</v>
      </c>
      <c r="L31" s="1488">
        <v>0.53</v>
      </c>
      <c r="N31" s="1472">
        <f t="shared" si="37"/>
        <v>1.2999999999999999E-3</v>
      </c>
      <c r="O31" s="1489">
        <f t="shared" si="37"/>
        <v>7.4999999999999997E-3</v>
      </c>
      <c r="P31" s="1489">
        <f t="shared" si="37"/>
        <v>-8.0000000000000004E-4</v>
      </c>
      <c r="Q31" s="1489">
        <f t="shared" si="37"/>
        <v>5.3E-3</v>
      </c>
      <c r="R31" s="1474"/>
      <c r="S31" s="1472"/>
      <c r="T31" s="1473"/>
      <c r="U31" s="1473"/>
      <c r="V31" s="1473"/>
    </row>
    <row r="32" spans="1:34">
      <c r="A32" s="1461" t="s">
        <v>1173</v>
      </c>
      <c r="B32" s="1477">
        <f t="shared" si="47"/>
        <v>275.19335084830601</v>
      </c>
      <c r="C32" s="1477">
        <f t="shared" si="47"/>
        <v>230.18088050139744</v>
      </c>
      <c r="D32" s="1477">
        <f t="shared" si="35"/>
        <v>230.18088050139744</v>
      </c>
      <c r="E32" s="1477">
        <f t="shared" si="48"/>
        <v>377.58482925212331</v>
      </c>
      <c r="F32" s="1477">
        <f t="shared" si="48"/>
        <v>210.90687997847917</v>
      </c>
      <c r="G32" s="3377">
        <v>2011</v>
      </c>
      <c r="H32" s="1465">
        <v>2</v>
      </c>
      <c r="I32" s="1465">
        <v>-0.4</v>
      </c>
      <c r="J32" s="1465">
        <v>0.17</v>
      </c>
      <c r="K32" s="1465">
        <v>-0.57999999999999996</v>
      </c>
      <c r="L32" s="1479">
        <v>-0.2</v>
      </c>
      <c r="N32" s="1472">
        <f t="shared" si="37"/>
        <v>-4.0000000000000001E-3</v>
      </c>
      <c r="O32" s="1489">
        <f t="shared" si="37"/>
        <v>1.7000000000000001E-3</v>
      </c>
      <c r="P32" s="1489">
        <f t="shared" si="37"/>
        <v>-5.7999999999999996E-3</v>
      </c>
      <c r="Q32" s="1489">
        <f t="shared" si="37"/>
        <v>-2E-3</v>
      </c>
      <c r="R32" s="1474"/>
      <c r="S32" s="1472"/>
      <c r="T32" s="1473"/>
      <c r="U32" s="1473"/>
      <c r="V32" s="1473"/>
    </row>
    <row r="33" spans="1:26" ht="13.5" thickBot="1">
      <c r="A33" s="1461" t="s">
        <v>1174</v>
      </c>
      <c r="B33" s="1477">
        <f t="shared" si="47"/>
        <v>276.29854502841971</v>
      </c>
      <c r="C33" s="1477">
        <f t="shared" si="47"/>
        <v>229.79023709833027</v>
      </c>
      <c r="D33" s="1477">
        <f t="shared" si="35"/>
        <v>229.79023709833027</v>
      </c>
      <c r="E33" s="1477">
        <f t="shared" si="48"/>
        <v>379.78759731655936</v>
      </c>
      <c r="F33" s="1477">
        <f t="shared" si="48"/>
        <v>211.32953905659235</v>
      </c>
      <c r="G33" s="3378">
        <v>2011</v>
      </c>
      <c r="H33" s="1464">
        <v>1</v>
      </c>
      <c r="I33" s="1464">
        <v>2.65</v>
      </c>
      <c r="J33" s="1464">
        <v>3.76</v>
      </c>
      <c r="K33" s="1464">
        <v>1.89</v>
      </c>
      <c r="L33" s="1478">
        <v>7.95</v>
      </c>
      <c r="N33" s="1480">
        <f t="shared" si="37"/>
        <v>2.6499999999999999E-2</v>
      </c>
      <c r="O33" s="1481">
        <f t="shared" si="37"/>
        <v>3.7599999999999995E-2</v>
      </c>
      <c r="P33" s="1481">
        <f t="shared" si="37"/>
        <v>1.89E-2</v>
      </c>
      <c r="Q33" s="1481">
        <f t="shared" si="37"/>
        <v>7.9500000000000001E-2</v>
      </c>
      <c r="R33" s="1474"/>
      <c r="S33" s="1480">
        <f>B33/B34-1</f>
        <v>2.713213765211786E-2</v>
      </c>
      <c r="T33" s="1481">
        <f>C33/C34-1</f>
        <v>3.9774828499231862E-2</v>
      </c>
      <c r="U33" s="1481">
        <f>E33/E34-1</f>
        <v>1.8197311840641772E-2</v>
      </c>
      <c r="V33" s="1481">
        <f>F33/F34-1</f>
        <v>7.8211933962205826E-2</v>
      </c>
      <c r="X33" s="1460"/>
      <c r="Y33" s="1460"/>
      <c r="Z33" s="1460"/>
    </row>
    <row r="34" spans="1:26" ht="13.5" thickBot="1">
      <c r="A34" s="1461" t="s">
        <v>1175</v>
      </c>
      <c r="B34" s="1469">
        <v>269</v>
      </c>
      <c r="C34" s="1469">
        <v>221</v>
      </c>
      <c r="D34" s="1469">
        <f t="shared" si="35"/>
        <v>221</v>
      </c>
      <c r="E34" s="1469">
        <v>373</v>
      </c>
      <c r="F34" s="1470">
        <v>196</v>
      </c>
      <c r="G34" s="3376">
        <v>2010</v>
      </c>
      <c r="H34" s="1482">
        <v>4</v>
      </c>
      <c r="I34" s="1482">
        <v>5.72</v>
      </c>
      <c r="J34" s="1482">
        <v>6.57</v>
      </c>
      <c r="K34" s="1482">
        <v>5.72</v>
      </c>
      <c r="L34" s="1483">
        <v>2.72</v>
      </c>
      <c r="N34" s="1472">
        <f t="shared" si="37"/>
        <v>5.7200000000000001E-2</v>
      </c>
      <c r="O34" s="1473">
        <f t="shared" si="37"/>
        <v>6.5700000000000008E-2</v>
      </c>
      <c r="P34" s="1473">
        <f t="shared" si="37"/>
        <v>5.7200000000000001E-2</v>
      </c>
      <c r="Q34" s="1473">
        <f t="shared" si="37"/>
        <v>2.7200000000000002E-2</v>
      </c>
      <c r="R34" s="1474"/>
      <c r="S34" s="1475"/>
      <c r="T34" s="1476"/>
      <c r="U34" s="1476"/>
      <c r="V34" s="1476"/>
      <c r="X34" s="1476"/>
      <c r="Y34" s="1476"/>
      <c r="Z34" s="1476"/>
    </row>
    <row r="35" spans="1:26">
      <c r="A35" s="1461" t="s">
        <v>1176</v>
      </c>
      <c r="B35" s="1477">
        <f t="shared" ref="B35:C37" si="49">B34/(1+N34)</f>
        <v>254.44570563753314</v>
      </c>
      <c r="C35" s="1477">
        <f t="shared" si="49"/>
        <v>207.37543398705074</v>
      </c>
      <c r="D35" s="1477">
        <f t="shared" si="35"/>
        <v>207.37543398705074</v>
      </c>
      <c r="E35" s="1477">
        <f t="shared" ref="E35:F37" si="50">E34/(1+P34)</f>
        <v>352.81876655315932</v>
      </c>
      <c r="F35" s="1477">
        <f t="shared" si="50"/>
        <v>190.809968847352</v>
      </c>
      <c r="G35" s="3377">
        <v>2010</v>
      </c>
      <c r="H35" s="1487">
        <v>3</v>
      </c>
      <c r="I35" s="1487">
        <v>4.7300000000000004</v>
      </c>
      <c r="J35" s="1487">
        <v>3.9</v>
      </c>
      <c r="K35" s="1487">
        <v>5.03</v>
      </c>
      <c r="L35" s="1488">
        <v>4.21</v>
      </c>
      <c r="N35" s="1472">
        <f t="shared" si="37"/>
        <v>4.7300000000000002E-2</v>
      </c>
      <c r="O35" s="1473">
        <f t="shared" si="37"/>
        <v>3.9E-2</v>
      </c>
      <c r="P35" s="1473">
        <f t="shared" si="37"/>
        <v>5.0300000000000004E-2</v>
      </c>
      <c r="Q35" s="1473">
        <f t="shared" si="37"/>
        <v>4.2099999999999999E-2</v>
      </c>
      <c r="R35" s="1474"/>
      <c r="S35" s="1472"/>
      <c r="T35" s="1473"/>
      <c r="U35" s="1473"/>
      <c r="V35" s="1473"/>
    </row>
    <row r="36" spans="1:26">
      <c r="A36" s="1461" t="s">
        <v>1177</v>
      </c>
      <c r="B36" s="1477">
        <f t="shared" si="49"/>
        <v>242.95398227588385</v>
      </c>
      <c r="C36" s="1477">
        <f t="shared" si="49"/>
        <v>199.59137053614126</v>
      </c>
      <c r="D36" s="1477">
        <f t="shared" si="35"/>
        <v>199.59137053614126</v>
      </c>
      <c r="E36" s="1477">
        <f t="shared" si="50"/>
        <v>335.92189522342125</v>
      </c>
      <c r="F36" s="1477">
        <f t="shared" si="50"/>
        <v>183.10139991109489</v>
      </c>
      <c r="G36" s="3377">
        <v>2010</v>
      </c>
      <c r="H36" s="1465">
        <v>2</v>
      </c>
      <c r="I36" s="1465">
        <v>4.6900000000000004</v>
      </c>
      <c r="J36" s="1465">
        <v>3.55</v>
      </c>
      <c r="K36" s="1465">
        <v>5.07</v>
      </c>
      <c r="L36" s="1479">
        <v>4.2300000000000004</v>
      </c>
      <c r="N36" s="1472">
        <f t="shared" si="37"/>
        <v>4.6900000000000004E-2</v>
      </c>
      <c r="O36" s="1473">
        <f t="shared" si="37"/>
        <v>3.5499999999999997E-2</v>
      </c>
      <c r="P36" s="1473">
        <f t="shared" si="37"/>
        <v>5.0700000000000002E-2</v>
      </c>
      <c r="Q36" s="1473">
        <f t="shared" si="37"/>
        <v>4.2300000000000004E-2</v>
      </c>
      <c r="R36" s="1474"/>
      <c r="S36" s="1472"/>
      <c r="T36" s="1473"/>
      <c r="U36" s="1473"/>
      <c r="V36" s="1473"/>
    </row>
    <row r="37" spans="1:26" ht="13.5" thickBot="1">
      <c r="A37" s="1461" t="s">
        <v>1178</v>
      </c>
      <c r="B37" s="1477">
        <f t="shared" si="49"/>
        <v>232.06990378821649</v>
      </c>
      <c r="C37" s="1477">
        <f t="shared" si="49"/>
        <v>192.74878854286936</v>
      </c>
      <c r="D37" s="1477">
        <f t="shared" si="35"/>
        <v>192.74878854286936</v>
      </c>
      <c r="E37" s="1477">
        <f t="shared" si="50"/>
        <v>319.71247284992984</v>
      </c>
      <c r="F37" s="1477">
        <f t="shared" si="50"/>
        <v>175.67053622862409</v>
      </c>
      <c r="G37" s="3378">
        <v>2010</v>
      </c>
      <c r="H37" s="1464">
        <v>1</v>
      </c>
      <c r="I37" s="1464">
        <v>5.4</v>
      </c>
      <c r="J37" s="1464">
        <v>3.2</v>
      </c>
      <c r="K37" s="1464">
        <v>6.16</v>
      </c>
      <c r="L37" s="1478">
        <v>4.51</v>
      </c>
      <c r="N37" s="1472">
        <f t="shared" si="37"/>
        <v>5.4000000000000006E-2</v>
      </c>
      <c r="O37" s="1473">
        <f t="shared" si="37"/>
        <v>3.2000000000000001E-2</v>
      </c>
      <c r="P37" s="1473">
        <f t="shared" si="37"/>
        <v>6.1600000000000002E-2</v>
      </c>
      <c r="Q37" s="1473">
        <f t="shared" si="37"/>
        <v>4.5100000000000001E-2</v>
      </c>
      <c r="R37" s="1474"/>
      <c r="S37" s="1480">
        <f>B37/B38-1</f>
        <v>5.4863199037347599E-2</v>
      </c>
      <c r="T37" s="1481">
        <f>C37/C38-1</f>
        <v>3.0742184721226584E-2</v>
      </c>
      <c r="U37" s="1481">
        <f>E37/E38-1</f>
        <v>6.2167683886810154E-2</v>
      </c>
      <c r="V37" s="1481">
        <f>F37/F38-1</f>
        <v>4.5657953741810031E-2</v>
      </c>
      <c r="X37" s="1460"/>
      <c r="Y37" s="1460"/>
      <c r="Z37" s="1460"/>
    </row>
    <row r="38" spans="1:26" ht="13.5" thickBot="1">
      <c r="A38" s="1461" t="s">
        <v>1179</v>
      </c>
      <c r="B38" s="1469">
        <v>220</v>
      </c>
      <c r="C38" s="1469">
        <v>187</v>
      </c>
      <c r="D38" s="1469">
        <f t="shared" si="35"/>
        <v>187</v>
      </c>
      <c r="E38" s="1469">
        <v>301</v>
      </c>
      <c r="F38" s="1470">
        <v>168</v>
      </c>
      <c r="G38" s="3376">
        <v>2009</v>
      </c>
      <c r="H38" s="1482">
        <v>4</v>
      </c>
      <c r="I38" s="1482">
        <v>2.2999999999999998</v>
      </c>
      <c r="J38" s="1482">
        <v>1.04</v>
      </c>
      <c r="K38" s="1482">
        <v>2.84</v>
      </c>
      <c r="L38" s="1483">
        <v>0.67</v>
      </c>
      <c r="N38" s="1484">
        <f t="shared" si="37"/>
        <v>2.3E-2</v>
      </c>
      <c r="O38" s="1485">
        <f t="shared" si="37"/>
        <v>1.04E-2</v>
      </c>
      <c r="P38" s="1485">
        <f t="shared" si="37"/>
        <v>2.8399999999999998E-2</v>
      </c>
      <c r="Q38" s="1485">
        <f t="shared" si="37"/>
        <v>6.7000000000000002E-3</v>
      </c>
      <c r="R38" s="1474"/>
      <c r="S38" s="1475"/>
      <c r="T38" s="1476"/>
      <c r="U38" s="1476"/>
      <c r="V38" s="1476"/>
      <c r="X38" s="1476"/>
      <c r="Y38" s="1476"/>
      <c r="Z38" s="1476"/>
    </row>
    <row r="39" spans="1:26">
      <c r="A39" s="1461" t="s">
        <v>1180</v>
      </c>
      <c r="B39" s="1477">
        <f t="shared" ref="B39:C41" si="51">B38/(1+N38)</f>
        <v>215.05376344086022</v>
      </c>
      <c r="C39" s="1477">
        <f t="shared" si="51"/>
        <v>185.0752177355503</v>
      </c>
      <c r="D39" s="1477">
        <f t="shared" si="35"/>
        <v>185.0752177355503</v>
      </c>
      <c r="E39" s="1477">
        <f t="shared" ref="E39:F41" si="52">E38/(1+P38)</f>
        <v>292.68767016725008</v>
      </c>
      <c r="F39" s="1477">
        <f t="shared" si="52"/>
        <v>166.88189132810174</v>
      </c>
      <c r="G39" s="3377">
        <v>2009</v>
      </c>
      <c r="H39" s="1487">
        <v>3</v>
      </c>
      <c r="I39" s="1487">
        <v>2.1</v>
      </c>
      <c r="J39" s="1487">
        <v>1.86</v>
      </c>
      <c r="K39" s="1487">
        <v>2.29</v>
      </c>
      <c r="L39" s="1488">
        <v>0.85</v>
      </c>
      <c r="N39" s="1472">
        <f t="shared" si="37"/>
        <v>2.1000000000000001E-2</v>
      </c>
      <c r="O39" s="1489">
        <f t="shared" si="37"/>
        <v>1.8600000000000002E-2</v>
      </c>
      <c r="P39" s="1489">
        <f t="shared" si="37"/>
        <v>2.29E-2</v>
      </c>
      <c r="Q39" s="1489">
        <f t="shared" si="37"/>
        <v>8.5000000000000006E-3</v>
      </c>
      <c r="R39" s="1474"/>
      <c r="S39" s="1472"/>
      <c r="T39" s="1473"/>
      <c r="U39" s="1473"/>
      <c r="V39" s="1473"/>
    </row>
    <row r="40" spans="1:26">
      <c r="A40" s="1461" t="s">
        <v>1181</v>
      </c>
      <c r="B40" s="1477">
        <f t="shared" si="51"/>
        <v>210.630522469011</v>
      </c>
      <c r="C40" s="1477">
        <f t="shared" si="51"/>
        <v>181.69567812247232</v>
      </c>
      <c r="D40" s="1477">
        <f t="shared" si="35"/>
        <v>181.69567812247232</v>
      </c>
      <c r="E40" s="1477">
        <f t="shared" si="52"/>
        <v>286.13517466736738</v>
      </c>
      <c r="F40" s="1477">
        <f t="shared" si="52"/>
        <v>165.47535084591149</v>
      </c>
      <c r="G40" s="3377">
        <v>2009</v>
      </c>
      <c r="H40" s="1465">
        <v>2</v>
      </c>
      <c r="I40" s="1465">
        <v>0.86</v>
      </c>
      <c r="J40" s="1465">
        <v>-1.1299999999999999</v>
      </c>
      <c r="K40" s="1465">
        <v>1.79</v>
      </c>
      <c r="L40" s="1479">
        <v>-2.0699999999999998</v>
      </c>
      <c r="N40" s="1472">
        <f t="shared" si="37"/>
        <v>8.6E-3</v>
      </c>
      <c r="O40" s="1489">
        <f t="shared" si="37"/>
        <v>-1.1299999999999999E-2</v>
      </c>
      <c r="P40" s="1489">
        <f t="shared" si="37"/>
        <v>1.7899999999999999E-2</v>
      </c>
      <c r="Q40" s="1489">
        <f t="shared" si="37"/>
        <v>-2.07E-2</v>
      </c>
      <c r="R40" s="1474"/>
      <c r="S40" s="1472"/>
      <c r="T40" s="1473"/>
      <c r="U40" s="1473"/>
      <c r="V40" s="1473"/>
    </row>
    <row r="41" spans="1:26">
      <c r="A41" s="1461" t="s">
        <v>1182</v>
      </c>
      <c r="B41" s="1477">
        <f t="shared" si="51"/>
        <v>208.83454537875372</v>
      </c>
      <c r="C41" s="1477">
        <f t="shared" si="51"/>
        <v>183.77230517090351</v>
      </c>
      <c r="D41" s="1477">
        <f t="shared" si="35"/>
        <v>183.77230517090351</v>
      </c>
      <c r="E41" s="1477">
        <f t="shared" si="52"/>
        <v>281.10342338870947</v>
      </c>
      <c r="F41" s="1477">
        <f t="shared" si="52"/>
        <v>168.97309388942256</v>
      </c>
      <c r="G41" s="3378">
        <v>2009</v>
      </c>
      <c r="H41" s="1464">
        <v>1</v>
      </c>
      <c r="I41" s="1464">
        <v>-2.64</v>
      </c>
      <c r="J41" s="1464">
        <v>-2.5299999999999998</v>
      </c>
      <c r="K41" s="1464">
        <v>-3.02</v>
      </c>
      <c r="L41" s="1478">
        <v>1.52</v>
      </c>
      <c r="N41" s="1480">
        <f t="shared" si="37"/>
        <v>-2.64E-2</v>
      </c>
      <c r="O41" s="1481">
        <f t="shared" si="37"/>
        <v>-2.53E-2</v>
      </c>
      <c r="P41" s="1481">
        <f t="shared" si="37"/>
        <v>-3.0200000000000001E-2</v>
      </c>
      <c r="Q41" s="1481">
        <f t="shared" si="37"/>
        <v>1.52E-2</v>
      </c>
      <c r="R41" s="1474"/>
      <c r="S41" s="1480">
        <f>B41/B42-1</f>
        <v>-2.4137638417038754E-2</v>
      </c>
      <c r="T41" s="1481">
        <f>C41/C42-1</f>
        <v>-2.248773845264096E-2</v>
      </c>
      <c r="U41" s="1481">
        <f>E41/E42-1</f>
        <v>-2.7323794502735366E-2</v>
      </c>
      <c r="V41" s="1481">
        <f>F41/F42-1</f>
        <v>1.7910204153148035E-2</v>
      </c>
      <c r="X41" s="1460"/>
      <c r="Y41" s="1460"/>
      <c r="Z41" s="1460"/>
    </row>
    <row r="42" spans="1:26" ht="13.5" thickBot="1">
      <c r="A42" s="1461" t="s">
        <v>1183</v>
      </c>
      <c r="B42" s="1511">
        <v>214</v>
      </c>
      <c r="C42" s="1511">
        <v>188</v>
      </c>
      <c r="D42" s="1511">
        <f t="shared" si="35"/>
        <v>188</v>
      </c>
      <c r="E42" s="1511">
        <v>289</v>
      </c>
      <c r="F42" s="1512">
        <v>166</v>
      </c>
      <c r="G42" s="3376">
        <v>2008</v>
      </c>
      <c r="H42" s="1482">
        <v>4</v>
      </c>
      <c r="I42" s="1482">
        <v>1.73</v>
      </c>
      <c r="J42" s="1482">
        <v>0.03</v>
      </c>
      <c r="K42" s="1482">
        <v>2.59</v>
      </c>
      <c r="L42" s="1483">
        <v>-1.66</v>
      </c>
      <c r="N42" s="1472">
        <f t="shared" si="37"/>
        <v>1.7299999999999999E-2</v>
      </c>
      <c r="O42" s="1473">
        <f t="shared" si="37"/>
        <v>2.9999999999999997E-4</v>
      </c>
      <c r="P42" s="1473">
        <f t="shared" si="37"/>
        <v>2.5899999999999999E-2</v>
      </c>
      <c r="Q42" s="1473">
        <f t="shared" si="37"/>
        <v>-1.66E-2</v>
      </c>
      <c r="R42" s="1474"/>
      <c r="S42" s="1475"/>
      <c r="T42" s="1476"/>
      <c r="U42" s="1476"/>
      <c r="V42" s="1476"/>
      <c r="X42" s="1476"/>
      <c r="Y42" s="1476"/>
      <c r="Z42" s="1476"/>
    </row>
    <row r="43" spans="1:26">
      <c r="A43" s="1461" t="s">
        <v>1184</v>
      </c>
      <c r="B43" s="1477">
        <f t="shared" ref="B43:C45" si="53">B42/(1+N42)</f>
        <v>210.36075887152265</v>
      </c>
      <c r="C43" s="1477">
        <f t="shared" si="53"/>
        <v>187.94361691492554</v>
      </c>
      <c r="D43" s="1477">
        <f t="shared" si="35"/>
        <v>187.94361691492554</v>
      </c>
      <c r="E43" s="1477">
        <f t="shared" ref="E43:F45" si="54">E42/(1+P42)</f>
        <v>281.70386977288234</v>
      </c>
      <c r="F43" s="1477">
        <f t="shared" si="54"/>
        <v>168.80211511083994</v>
      </c>
      <c r="G43" s="3377">
        <v>2008</v>
      </c>
      <c r="H43" s="1487">
        <v>3</v>
      </c>
      <c r="I43" s="1487">
        <v>1.96</v>
      </c>
      <c r="J43" s="1487">
        <v>2.36</v>
      </c>
      <c r="K43" s="1487">
        <v>1.82</v>
      </c>
      <c r="L43" s="1488">
        <v>2.2200000000000002</v>
      </c>
      <c r="N43" s="1472">
        <f t="shared" si="37"/>
        <v>1.9599999999999999E-2</v>
      </c>
      <c r="O43" s="1473">
        <f t="shared" si="37"/>
        <v>2.3599999999999999E-2</v>
      </c>
      <c r="P43" s="1473">
        <f t="shared" si="37"/>
        <v>1.8200000000000001E-2</v>
      </c>
      <c r="Q43" s="1473">
        <f t="shared" si="37"/>
        <v>2.2200000000000001E-2</v>
      </c>
      <c r="R43" s="1474"/>
      <c r="S43" s="1472"/>
      <c r="T43" s="1473"/>
      <c r="U43" s="1473"/>
      <c r="V43" s="1473"/>
    </row>
    <row r="44" spans="1:26">
      <c r="A44" s="1461" t="s">
        <v>1185</v>
      </c>
      <c r="B44" s="1477">
        <f t="shared" si="53"/>
        <v>206.31694671589116</v>
      </c>
      <c r="C44" s="1477">
        <f t="shared" si="53"/>
        <v>183.61041121036101</v>
      </c>
      <c r="D44" s="1477">
        <f t="shared" si="35"/>
        <v>183.61041121036101</v>
      </c>
      <c r="E44" s="1477">
        <f t="shared" si="54"/>
        <v>276.66850301795557</v>
      </c>
      <c r="F44" s="1477">
        <f t="shared" si="54"/>
        <v>165.1360938278614</v>
      </c>
      <c r="G44" s="3377">
        <v>2008</v>
      </c>
      <c r="H44" s="1465">
        <v>2</v>
      </c>
      <c r="I44" s="1465">
        <v>4.93</v>
      </c>
      <c r="J44" s="1465">
        <v>7.38</v>
      </c>
      <c r="K44" s="1465">
        <v>3.98</v>
      </c>
      <c r="L44" s="1479">
        <v>6.86</v>
      </c>
      <c r="N44" s="1472">
        <f t="shared" si="37"/>
        <v>4.9299999999999997E-2</v>
      </c>
      <c r="O44" s="1473">
        <f t="shared" si="37"/>
        <v>7.3800000000000004E-2</v>
      </c>
      <c r="P44" s="1473">
        <f t="shared" si="37"/>
        <v>3.9800000000000002E-2</v>
      </c>
      <c r="Q44" s="1473">
        <f t="shared" si="37"/>
        <v>6.8600000000000008E-2</v>
      </c>
      <c r="R44" s="1474"/>
      <c r="S44" s="1472"/>
      <c r="T44" s="1473"/>
      <c r="U44" s="1473"/>
      <c r="V44" s="1473"/>
    </row>
    <row r="45" spans="1:26" s="1517" customFormat="1" ht="13.5" thickBot="1">
      <c r="A45" s="1461" t="s">
        <v>1186</v>
      </c>
      <c r="B45" s="1514">
        <f t="shared" si="53"/>
        <v>196.62341248059772</v>
      </c>
      <c r="C45" s="1514">
        <f t="shared" si="53"/>
        <v>170.99125648199012</v>
      </c>
      <c r="D45" s="1514">
        <f t="shared" si="35"/>
        <v>170.99125648199012</v>
      </c>
      <c r="E45" s="1514">
        <f t="shared" si="54"/>
        <v>266.07857570490052</v>
      </c>
      <c r="F45" s="1514">
        <f t="shared" si="54"/>
        <v>154.53499328828505</v>
      </c>
      <c r="G45" s="3378">
        <v>2008</v>
      </c>
      <c r="H45" s="1515">
        <v>1</v>
      </c>
      <c r="I45" s="1515">
        <v>4.1399999999999997</v>
      </c>
      <c r="J45" s="1515">
        <v>3.45</v>
      </c>
      <c r="K45" s="1515">
        <v>4.95</v>
      </c>
      <c r="L45" s="1516">
        <v>4.82</v>
      </c>
      <c r="N45" s="1518">
        <f t="shared" si="37"/>
        <v>4.1399999999999999E-2</v>
      </c>
      <c r="O45" s="1519">
        <f t="shared" si="37"/>
        <v>3.4500000000000003E-2</v>
      </c>
      <c r="P45" s="1519">
        <f t="shared" si="37"/>
        <v>4.9500000000000002E-2</v>
      </c>
      <c r="Q45" s="1519">
        <f t="shared" si="37"/>
        <v>4.82E-2</v>
      </c>
      <c r="R45" s="1520"/>
      <c r="S45" s="1518">
        <f>B45/B46-1</f>
        <v>4.5869215322328349E-2</v>
      </c>
      <c r="T45" s="1519">
        <f>C45/C46-1</f>
        <v>3.6310645345394743E-2</v>
      </c>
      <c r="U45" s="1519">
        <f>E45/E46-1</f>
        <v>4.7553447657088688E-2</v>
      </c>
      <c r="V45" s="1519">
        <f>F45/F46-1</f>
        <v>4.4155360055980086E-2</v>
      </c>
      <c r="X45" s="1521"/>
      <c r="Y45" s="1521"/>
      <c r="Z45" s="1521"/>
    </row>
    <row r="46" spans="1:26" ht="13.5" thickBot="1">
      <c r="A46" s="1461" t="s">
        <v>1187</v>
      </c>
      <c r="B46" s="1469">
        <v>188</v>
      </c>
      <c r="C46" s="1469">
        <v>165</v>
      </c>
      <c r="D46" s="1469">
        <f t="shared" si="35"/>
        <v>165</v>
      </c>
      <c r="E46" s="1469">
        <v>254</v>
      </c>
      <c r="F46" s="1470">
        <v>148</v>
      </c>
      <c r="G46" s="3376">
        <v>2007</v>
      </c>
      <c r="H46" s="1522">
        <v>4</v>
      </c>
      <c r="I46" s="1522">
        <v>5.51</v>
      </c>
      <c r="J46" s="1522">
        <v>4.8899999999999997</v>
      </c>
      <c r="K46" s="1522">
        <v>6.43</v>
      </c>
      <c r="L46" s="1523">
        <v>5.36</v>
      </c>
      <c r="N46" s="1524">
        <f t="shared" ref="N46:O49" si="55">B46/B47-1</f>
        <v>4.1339718365245526E-2</v>
      </c>
      <c r="O46" s="1525">
        <f t="shared" si="55"/>
        <v>4.0324492593776018E-2</v>
      </c>
      <c r="P46" s="1525">
        <f t="shared" ref="P46:Q49" si="56">E46/E47-1</f>
        <v>6.1625555347990968E-2</v>
      </c>
      <c r="Q46" s="1525">
        <f t="shared" si="56"/>
        <v>4.6757569250590603E-2</v>
      </c>
      <c r="R46" s="1474"/>
      <c r="S46" s="1475"/>
      <c r="T46" s="1476"/>
      <c r="U46" s="1476"/>
      <c r="V46" s="1476"/>
      <c r="X46" s="1476"/>
      <c r="Y46" s="1476"/>
      <c r="Z46" s="1476"/>
    </row>
    <row r="47" spans="1:26">
      <c r="A47" s="1461" t="s">
        <v>1188</v>
      </c>
      <c r="B47" s="1477">
        <f t="shared" ref="B47:C49" si="57">B48+(B$46-B$50)*I47/SUM(I$46:I$49)</f>
        <v>180.5366651097618</v>
      </c>
      <c r="C47" s="1477">
        <f t="shared" si="57"/>
        <v>158.60435967302453</v>
      </c>
      <c r="D47" s="1477">
        <f t="shared" si="35"/>
        <v>158.60435967302453</v>
      </c>
      <c r="E47" s="1477">
        <f t="shared" ref="E47:F49" si="58">E48+(E$46-E$50)*K47/SUM(K$46:K$49)</f>
        <v>239.25573260785075</v>
      </c>
      <c r="F47" s="1477">
        <f t="shared" si="58"/>
        <v>141.38899430740037</v>
      </c>
      <c r="G47" s="3377">
        <v>2007</v>
      </c>
      <c r="H47" s="1487">
        <v>3</v>
      </c>
      <c r="I47" s="1487">
        <v>8.65</v>
      </c>
      <c r="J47" s="1487">
        <v>8.06</v>
      </c>
      <c r="K47" s="1487">
        <v>9.94</v>
      </c>
      <c r="L47" s="1488">
        <v>5.8</v>
      </c>
      <c r="N47" s="1524">
        <f t="shared" si="55"/>
        <v>6.940217571740015E-2</v>
      </c>
      <c r="O47" s="1525">
        <f t="shared" si="55"/>
        <v>7.1197482471153428E-2</v>
      </c>
      <c r="P47" s="1525">
        <f t="shared" si="56"/>
        <v>0.10529679922579582</v>
      </c>
      <c r="Q47" s="1525">
        <f t="shared" si="56"/>
        <v>5.3292245059512133E-2</v>
      </c>
      <c r="R47" s="1474"/>
      <c r="S47" s="1472"/>
      <c r="T47" s="1473"/>
      <c r="U47" s="1473"/>
      <c r="V47" s="1473"/>
      <c r="X47" s="1526"/>
      <c r="Y47" s="1526"/>
      <c r="Z47" s="1526"/>
    </row>
    <row r="48" spans="1:26">
      <c r="A48" s="1461" t="s">
        <v>1189</v>
      </c>
      <c r="B48" s="1477">
        <f t="shared" si="57"/>
        <v>168.82017748715555</v>
      </c>
      <c r="C48" s="1477">
        <f t="shared" si="57"/>
        <v>148.06267029972753</v>
      </c>
      <c r="D48" s="1477">
        <f t="shared" si="35"/>
        <v>148.06267029972753</v>
      </c>
      <c r="E48" s="1477">
        <f t="shared" si="58"/>
        <v>216.46288379323747</v>
      </c>
      <c r="F48" s="1477">
        <f t="shared" si="58"/>
        <v>134.23529411764704</v>
      </c>
      <c r="G48" s="3377">
        <v>2007</v>
      </c>
      <c r="H48" s="1465">
        <v>2</v>
      </c>
      <c r="I48" s="1465">
        <v>3.67</v>
      </c>
      <c r="J48" s="1465">
        <v>2.3199999999999998</v>
      </c>
      <c r="K48" s="1465">
        <v>5.0199999999999996</v>
      </c>
      <c r="L48" s="1479">
        <v>6.71</v>
      </c>
      <c r="N48" s="1524">
        <f t="shared" si="55"/>
        <v>3.0339138143848032E-2</v>
      </c>
      <c r="O48" s="1525">
        <f t="shared" si="55"/>
        <v>2.0922341588790472E-2</v>
      </c>
      <c r="P48" s="1525">
        <f t="shared" si="56"/>
        <v>5.6164796592717003E-2</v>
      </c>
      <c r="Q48" s="1525">
        <f t="shared" si="56"/>
        <v>6.5704536723887319E-2</v>
      </c>
      <c r="R48" s="1474"/>
      <c r="S48" s="1472"/>
      <c r="T48" s="1473"/>
      <c r="U48" s="1473"/>
      <c r="V48" s="1473"/>
      <c r="X48" s="1526"/>
      <c r="Y48" s="1526"/>
      <c r="Z48" s="1526"/>
    </row>
    <row r="49" spans="1:26">
      <c r="A49" s="1461" t="s">
        <v>1190</v>
      </c>
      <c r="B49" s="1477">
        <f t="shared" si="57"/>
        <v>163.84913591779542</v>
      </c>
      <c r="C49" s="1477">
        <f t="shared" si="57"/>
        <v>145.0283378746594</v>
      </c>
      <c r="D49" s="1477">
        <f t="shared" si="35"/>
        <v>145.0283378746594</v>
      </c>
      <c r="E49" s="1477">
        <f t="shared" si="58"/>
        <v>204.95180722891567</v>
      </c>
      <c r="F49" s="1477">
        <f t="shared" si="58"/>
        <v>125.95920303605313</v>
      </c>
      <c r="G49" s="3378">
        <v>2007</v>
      </c>
      <c r="H49" s="1464">
        <v>1</v>
      </c>
      <c r="I49" s="1464">
        <v>3.58</v>
      </c>
      <c r="J49" s="1464">
        <v>3.08</v>
      </c>
      <c r="K49" s="1464">
        <v>4.34</v>
      </c>
      <c r="L49" s="1478">
        <v>3.21</v>
      </c>
      <c r="N49" s="1527">
        <f t="shared" si="55"/>
        <v>3.0497710174814063E-2</v>
      </c>
      <c r="O49" s="1528">
        <f t="shared" si="55"/>
        <v>2.8569772160704998E-2</v>
      </c>
      <c r="P49" s="1528">
        <f t="shared" si="56"/>
        <v>5.1034908866234296E-2</v>
      </c>
      <c r="Q49" s="1528">
        <f t="shared" si="56"/>
        <v>3.245248390207478E-2</v>
      </c>
      <c r="R49" s="1474"/>
      <c r="S49" s="1480">
        <f>B49/B50-1</f>
        <v>3.0497710174814063E-2</v>
      </c>
      <c r="T49" s="1481">
        <f>C49/C50-1</f>
        <v>2.8569772160704998E-2</v>
      </c>
      <c r="U49" s="1481">
        <f>E49/E50-1</f>
        <v>5.1034908866234296E-2</v>
      </c>
      <c r="V49" s="1481">
        <f>F49/F50-1</f>
        <v>3.245248390207478E-2</v>
      </c>
      <c r="X49" s="1526"/>
      <c r="Y49" s="1526"/>
      <c r="Z49" s="1526"/>
    </row>
    <row r="50" spans="1:26" ht="13.5" thickBot="1">
      <c r="A50" s="1461" t="s">
        <v>1191</v>
      </c>
      <c r="B50" s="1490">
        <v>159</v>
      </c>
      <c r="C50" s="1490">
        <v>141</v>
      </c>
      <c r="D50" s="1490">
        <f t="shared" si="35"/>
        <v>141</v>
      </c>
      <c r="E50" s="1490">
        <v>195</v>
      </c>
      <c r="F50" s="1491">
        <v>122</v>
      </c>
      <c r="G50" s="3376">
        <v>2006</v>
      </c>
      <c r="H50" s="1482">
        <v>4</v>
      </c>
      <c r="I50" s="1482">
        <v>3.79</v>
      </c>
      <c r="J50" s="1482">
        <v>2.21</v>
      </c>
      <c r="K50" s="1482">
        <v>5.65</v>
      </c>
      <c r="L50" s="1483">
        <v>5.41</v>
      </c>
      <c r="N50" s="1524">
        <f t="shared" ref="N50:O53" si="59">I50/SUM(I$50:I$53)*(B$50/B$54-1)</f>
        <v>7.245466462748526E-2</v>
      </c>
      <c r="O50" s="1525">
        <f t="shared" si="59"/>
        <v>2.3237230038062766E-2</v>
      </c>
      <c r="P50" s="1525">
        <f t="shared" ref="P50:Q53" si="60">K50/SUM(K$50:K$53)*(E$50/E$54-1)</f>
        <v>0.16146893866323722</v>
      </c>
      <c r="Q50" s="1525">
        <f t="shared" si="60"/>
        <v>5.0755230321793784E-2</v>
      </c>
      <c r="R50" s="1474"/>
      <c r="S50" s="1475"/>
      <c r="T50" s="1476"/>
      <c r="U50" s="1476"/>
      <c r="V50" s="1476"/>
      <c r="X50" s="1526"/>
      <c r="Y50" s="1526"/>
      <c r="Z50" s="1526"/>
    </row>
    <row r="51" spans="1:26">
      <c r="A51" s="1461" t="s">
        <v>1192</v>
      </c>
      <c r="B51" s="1477">
        <f t="shared" ref="B51:C53" si="61">B52+(B$50-B$54)*I51/SUM(I$50:I$53)</f>
        <v>149.00125628140702</v>
      </c>
      <c r="C51" s="1477">
        <f t="shared" si="61"/>
        <v>137.95592286501378</v>
      </c>
      <c r="D51" s="1477">
        <f t="shared" si="35"/>
        <v>137.95592286501378</v>
      </c>
      <c r="E51" s="1477">
        <f t="shared" ref="E51:F53" si="62">E52+(E$50-E$54)*K51/SUM(K$50:K$53)</f>
        <v>169.97231450719823</v>
      </c>
      <c r="F51" s="1477">
        <f t="shared" si="62"/>
        <v>116.21390374331551</v>
      </c>
      <c r="G51" s="3377">
        <v>2006</v>
      </c>
      <c r="H51" s="1487">
        <v>3</v>
      </c>
      <c r="I51" s="1487">
        <v>0.92</v>
      </c>
      <c r="J51" s="1487">
        <v>1.08</v>
      </c>
      <c r="K51" s="1487">
        <v>0.73</v>
      </c>
      <c r="L51" s="1488">
        <v>1.08</v>
      </c>
      <c r="N51" s="1524">
        <f t="shared" si="59"/>
        <v>1.7587939698492462E-2</v>
      </c>
      <c r="O51" s="1525">
        <f t="shared" si="59"/>
        <v>1.1355750425840628E-2</v>
      </c>
      <c r="P51" s="1525">
        <f t="shared" si="60"/>
        <v>2.0862358446754544E-2</v>
      </c>
      <c r="Q51" s="1525">
        <f t="shared" si="60"/>
        <v>1.0132282578103011E-2</v>
      </c>
      <c r="R51" s="1474"/>
      <c r="S51" s="1472"/>
      <c r="T51" s="1473"/>
      <c r="U51" s="1473"/>
      <c r="V51" s="1473"/>
      <c r="X51" s="1526"/>
      <c r="Y51" s="1526"/>
      <c r="Z51" s="1526"/>
    </row>
    <row r="52" spans="1:26">
      <c r="A52" s="1461" t="s">
        <v>1193</v>
      </c>
      <c r="B52" s="1477">
        <f t="shared" si="61"/>
        <v>146.57412060301507</v>
      </c>
      <c r="C52" s="1477">
        <f t="shared" si="61"/>
        <v>136.46831955922866</v>
      </c>
      <c r="D52" s="1477">
        <f t="shared" si="35"/>
        <v>136.46831955922866</v>
      </c>
      <c r="E52" s="1477">
        <f t="shared" si="62"/>
        <v>166.73864894795128</v>
      </c>
      <c r="F52" s="1477">
        <f t="shared" si="62"/>
        <v>115.05882352941177</v>
      </c>
      <c r="G52" s="3377">
        <v>2006</v>
      </c>
      <c r="H52" s="1465">
        <v>2</v>
      </c>
      <c r="I52" s="1465">
        <v>0.96</v>
      </c>
      <c r="J52" s="1465">
        <v>0.25</v>
      </c>
      <c r="K52" s="1465">
        <v>1.9</v>
      </c>
      <c r="L52" s="1479">
        <v>0.95</v>
      </c>
      <c r="N52" s="1524">
        <f t="shared" si="59"/>
        <v>1.8352632728861701E-2</v>
      </c>
      <c r="O52" s="1525">
        <f t="shared" si="59"/>
        <v>2.6286459319075526E-3</v>
      </c>
      <c r="P52" s="1525">
        <f t="shared" si="60"/>
        <v>5.4299289107991269E-2</v>
      </c>
      <c r="Q52" s="1525">
        <f t="shared" si="60"/>
        <v>8.9126559714794995E-3</v>
      </c>
      <c r="R52" s="1474"/>
      <c r="S52" s="1472"/>
      <c r="T52" s="1473"/>
      <c r="U52" s="1473"/>
      <c r="V52" s="1473"/>
      <c r="X52" s="1526"/>
      <c r="Y52" s="1526"/>
      <c r="Z52" s="1526"/>
    </row>
    <row r="53" spans="1:26">
      <c r="A53" s="1461" t="s">
        <v>1194</v>
      </c>
      <c r="B53" s="1477">
        <f t="shared" si="61"/>
        <v>144.04145728643215</v>
      </c>
      <c r="C53" s="1477">
        <f t="shared" si="61"/>
        <v>136.12396694214877</v>
      </c>
      <c r="D53" s="1477">
        <f t="shared" si="35"/>
        <v>136.12396694214877</v>
      </c>
      <c r="E53" s="1477">
        <f t="shared" si="62"/>
        <v>158.32225913621264</v>
      </c>
      <c r="F53" s="1477">
        <f t="shared" si="62"/>
        <v>114.04278074866311</v>
      </c>
      <c r="G53" s="3378">
        <v>2006</v>
      </c>
      <c r="H53" s="1464">
        <v>1</v>
      </c>
      <c r="I53" s="1464">
        <v>2.29</v>
      </c>
      <c r="J53" s="1464">
        <v>3.72</v>
      </c>
      <c r="K53" s="1464">
        <v>0.75</v>
      </c>
      <c r="L53" s="1478">
        <v>0.04</v>
      </c>
      <c r="N53" s="1527">
        <f t="shared" si="59"/>
        <v>4.3778675988638847E-2</v>
      </c>
      <c r="O53" s="1528">
        <f t="shared" si="59"/>
        <v>3.9114251466784385E-2</v>
      </c>
      <c r="P53" s="1528">
        <f t="shared" si="60"/>
        <v>2.1433929911049188E-2</v>
      </c>
      <c r="Q53" s="1528">
        <f t="shared" si="60"/>
        <v>3.7526972511492629E-4</v>
      </c>
      <c r="R53" s="1474"/>
      <c r="S53" s="1480">
        <f>B53/B54-1</f>
        <v>4.3778675988638716E-2</v>
      </c>
      <c r="T53" s="1481">
        <f>C53/C54-1</f>
        <v>3.91142514667846E-2</v>
      </c>
      <c r="U53" s="1481">
        <f>E53/E54-1</f>
        <v>2.143392991104931E-2</v>
      </c>
      <c r="V53" s="1481">
        <f>F53/F54-1</f>
        <v>3.7526972511492396E-4</v>
      </c>
      <c r="X53" s="1526"/>
      <c r="Y53" s="1526"/>
      <c r="Z53" s="1526"/>
    </row>
    <row r="54" spans="1:26" ht="13.5" thickBot="1">
      <c r="A54" s="1461" t="s">
        <v>1195</v>
      </c>
      <c r="B54" s="1490">
        <v>138</v>
      </c>
      <c r="C54" s="1490">
        <v>131</v>
      </c>
      <c r="D54" s="1490">
        <f t="shared" si="35"/>
        <v>131</v>
      </c>
      <c r="E54" s="1490">
        <v>155</v>
      </c>
      <c r="F54" s="1491">
        <v>114</v>
      </c>
      <c r="G54" s="3376">
        <v>2005</v>
      </c>
      <c r="H54" s="1482">
        <v>4</v>
      </c>
      <c r="I54" s="1482">
        <v>3.29</v>
      </c>
      <c r="J54" s="1482">
        <v>1.44</v>
      </c>
      <c r="K54" s="1482">
        <v>0.66</v>
      </c>
      <c r="L54" s="1483">
        <v>7.78</v>
      </c>
      <c r="N54" s="1524">
        <f t="shared" ref="N54:O57" si="63">I54/SUM(I$54:I$57)*(B$54/B$58-1)</f>
        <v>9.9404603216919935E-2</v>
      </c>
      <c r="O54" s="1525">
        <f t="shared" si="63"/>
        <v>4.7636550760861554E-2</v>
      </c>
      <c r="P54" s="1525">
        <f t="shared" ref="P54:Q57" si="64">K54/SUM(K$54:K$57)*(E$54/E$58-1)</f>
        <v>8.3756345177664976E-2</v>
      </c>
      <c r="Q54" s="1525">
        <f t="shared" si="64"/>
        <v>5.2148766661559584E-2</v>
      </c>
      <c r="R54" s="1474"/>
      <c r="S54" s="1475"/>
      <c r="T54" s="1476"/>
      <c r="U54" s="1476"/>
      <c r="V54" s="1476"/>
      <c r="X54" s="1526"/>
      <c r="Y54" s="1526"/>
      <c r="Z54" s="1526"/>
    </row>
    <row r="55" spans="1:26">
      <c r="A55" s="1461" t="s">
        <v>1196</v>
      </c>
      <c r="B55" s="1477">
        <f t="shared" ref="B55:C57" si="65">B56+(B$54-B$58)*I55/SUM(I$54:I$57)</f>
        <v>125.9720430107527</v>
      </c>
      <c r="C55" s="1477">
        <f t="shared" si="65"/>
        <v>125.1883408071749</v>
      </c>
      <c r="D55" s="1477">
        <f t="shared" si="35"/>
        <v>125.1883408071749</v>
      </c>
      <c r="E55" s="1477">
        <f t="shared" ref="E55:F57" si="66">E56+(E$54-E$58)*K55/SUM(K$54:K$57)</f>
        <v>144.61421319796952</v>
      </c>
      <c r="F55" s="1477">
        <f t="shared" si="66"/>
        <v>108.42008196721311</v>
      </c>
      <c r="G55" s="3377">
        <v>2005</v>
      </c>
      <c r="H55" s="1487">
        <v>3</v>
      </c>
      <c r="I55" s="1487">
        <v>0.46</v>
      </c>
      <c r="J55" s="1487">
        <v>0.32</v>
      </c>
      <c r="K55" s="1487">
        <v>0.42</v>
      </c>
      <c r="L55" s="1488">
        <v>0.64</v>
      </c>
      <c r="N55" s="1524">
        <f t="shared" si="63"/>
        <v>1.3898515951301874E-2</v>
      </c>
      <c r="O55" s="1525">
        <f t="shared" si="63"/>
        <v>1.0585900169080346E-2</v>
      </c>
      <c r="P55" s="1525">
        <f t="shared" si="64"/>
        <v>5.3299492385786795E-2</v>
      </c>
      <c r="Q55" s="1525">
        <f t="shared" si="64"/>
        <v>4.2898728359123568E-3</v>
      </c>
      <c r="R55" s="1474"/>
      <c r="S55" s="1472"/>
      <c r="T55" s="1473"/>
      <c r="U55" s="1473"/>
      <c r="V55" s="1473"/>
      <c r="X55" s="1526"/>
      <c r="Y55" s="1526"/>
      <c r="Z55" s="1526"/>
    </row>
    <row r="56" spans="1:26">
      <c r="A56" s="1461" t="s">
        <v>1197</v>
      </c>
      <c r="B56" s="1477">
        <f t="shared" si="65"/>
        <v>124.29032258064517</v>
      </c>
      <c r="C56" s="1477">
        <f t="shared" si="65"/>
        <v>123.8968609865471</v>
      </c>
      <c r="D56" s="1477">
        <f t="shared" si="35"/>
        <v>123.8968609865471</v>
      </c>
      <c r="E56" s="1477">
        <f t="shared" si="66"/>
        <v>138.00507614213197</v>
      </c>
      <c r="F56" s="1477">
        <f t="shared" si="66"/>
        <v>107.96106557377048</v>
      </c>
      <c r="G56" s="3377">
        <v>2005</v>
      </c>
      <c r="H56" s="1465">
        <v>2</v>
      </c>
      <c r="I56" s="1465">
        <v>0.47</v>
      </c>
      <c r="J56" s="1465">
        <v>0.1</v>
      </c>
      <c r="K56" s="1465">
        <v>0.52</v>
      </c>
      <c r="L56" s="1479">
        <v>0.79</v>
      </c>
      <c r="N56" s="1524">
        <f t="shared" si="63"/>
        <v>1.420065760241713E-2</v>
      </c>
      <c r="O56" s="1525">
        <f t="shared" si="63"/>
        <v>3.3080938028376083E-3</v>
      </c>
      <c r="P56" s="1525">
        <f t="shared" si="64"/>
        <v>6.598984771573603E-2</v>
      </c>
      <c r="Q56" s="1525">
        <f t="shared" si="64"/>
        <v>5.2953117818293153E-3</v>
      </c>
      <c r="R56" s="1474"/>
      <c r="S56" s="1472"/>
      <c r="T56" s="1473"/>
      <c r="U56" s="1473"/>
      <c r="V56" s="1473"/>
      <c r="X56" s="1526"/>
      <c r="Y56" s="1526"/>
      <c r="Z56" s="1526"/>
    </row>
    <row r="57" spans="1:26">
      <c r="A57" s="1461" t="s">
        <v>1198</v>
      </c>
      <c r="B57" s="1477">
        <f t="shared" si="65"/>
        <v>122.57204301075269</v>
      </c>
      <c r="C57" s="1477">
        <f t="shared" si="65"/>
        <v>123.4932735426009</v>
      </c>
      <c r="D57" s="1477">
        <f t="shared" si="35"/>
        <v>123.4932735426009</v>
      </c>
      <c r="E57" s="1477">
        <f t="shared" si="66"/>
        <v>129.82233502538071</v>
      </c>
      <c r="F57" s="1477">
        <f t="shared" si="66"/>
        <v>107.39446721311475</v>
      </c>
      <c r="G57" s="3378">
        <v>2005</v>
      </c>
      <c r="H57" s="1464">
        <v>1</v>
      </c>
      <c r="I57" s="1464">
        <v>0.43</v>
      </c>
      <c r="J57" s="1464">
        <v>0.37</v>
      </c>
      <c r="K57" s="1464">
        <v>0.37</v>
      </c>
      <c r="L57" s="1478">
        <v>0.55000000000000004</v>
      </c>
      <c r="N57" s="1527">
        <f t="shared" si="63"/>
        <v>1.2992090997956099E-2</v>
      </c>
      <c r="O57" s="1528">
        <f t="shared" si="63"/>
        <v>1.2239947070499151E-2</v>
      </c>
      <c r="P57" s="1528">
        <f t="shared" si="64"/>
        <v>4.6954314720812178E-2</v>
      </c>
      <c r="Q57" s="1528">
        <f t="shared" si="64"/>
        <v>3.6866094683621815E-3</v>
      </c>
      <c r="R57" s="1474"/>
      <c r="S57" s="1480">
        <f>B57/B58-1</f>
        <v>1.2992090997956174E-2</v>
      </c>
      <c r="T57" s="1481">
        <f>C57/C58-1</f>
        <v>1.2239947070499246E-2</v>
      </c>
      <c r="U57" s="1481">
        <f>E57/E58-1</f>
        <v>4.695431472081224E-2</v>
      </c>
      <c r="V57" s="1481">
        <f>F57/F58-1</f>
        <v>3.6866094683620787E-3</v>
      </c>
      <c r="X57" s="1526"/>
      <c r="Y57" s="1526"/>
      <c r="Z57" s="1526"/>
    </row>
    <row r="58" spans="1:26" ht="13.5" thickBot="1">
      <c r="A58" s="1461" t="s">
        <v>1199</v>
      </c>
      <c r="B58" s="1511">
        <v>121</v>
      </c>
      <c r="C58" s="1511">
        <v>122</v>
      </c>
      <c r="D58" s="1511">
        <f t="shared" si="35"/>
        <v>122</v>
      </c>
      <c r="E58" s="1511">
        <v>124</v>
      </c>
      <c r="F58" s="1512">
        <v>107</v>
      </c>
      <c r="G58" s="3376">
        <v>2004</v>
      </c>
      <c r="H58" s="1482">
        <v>4</v>
      </c>
      <c r="I58" s="1482">
        <v>0.33</v>
      </c>
      <c r="J58" s="1482">
        <v>0.5</v>
      </c>
      <c r="K58" s="1482">
        <v>0.5</v>
      </c>
      <c r="L58" s="1483">
        <v>0</v>
      </c>
      <c r="N58" s="1524">
        <f t="shared" ref="N58:O61" si="67">I58/SUM(I$58:I$61)*(B$58/B$62-1)</f>
        <v>1.3391770148526898E-2</v>
      </c>
      <c r="O58" s="1525">
        <f t="shared" si="67"/>
        <v>1.063264221158958E-2</v>
      </c>
      <c r="P58" s="1525">
        <f t="shared" ref="P58:Q61" si="68">K58/SUM(K$58:K$61)*(E$58/E$62-1)</f>
        <v>2.2244466688911134E-2</v>
      </c>
      <c r="Q58" s="1525">
        <f t="shared" si="68"/>
        <v>0</v>
      </c>
      <c r="R58" s="1474"/>
      <c r="S58" s="1475"/>
      <c r="T58" s="1476"/>
      <c r="U58" s="1476"/>
      <c r="V58" s="1476"/>
      <c r="X58" s="1526"/>
      <c r="Y58" s="1526"/>
      <c r="Z58" s="1526"/>
    </row>
    <row r="59" spans="1:26">
      <c r="A59" s="1461" t="s">
        <v>1200</v>
      </c>
      <c r="B59" s="1477">
        <f t="shared" ref="B59:C61" si="69">B60+(B$58-B$62)*I59/SUM(I$58:I$61)</f>
        <v>119.51351351351352</v>
      </c>
      <c r="C59" s="1477">
        <f t="shared" si="69"/>
        <v>120.7878787878788</v>
      </c>
      <c r="D59" s="1477">
        <f t="shared" si="35"/>
        <v>120.7878787878788</v>
      </c>
      <c r="E59" s="1477">
        <f t="shared" ref="E59:F61" si="70">E60+(E$58-E$62)*K59/SUM(K$58:K$61)</f>
        <v>121.5975975975976</v>
      </c>
      <c r="F59" s="1477">
        <f t="shared" si="70"/>
        <v>107</v>
      </c>
      <c r="G59" s="3377">
        <v>2004</v>
      </c>
      <c r="H59" s="1487">
        <v>3</v>
      </c>
      <c r="I59" s="1487">
        <v>0.56000000000000005</v>
      </c>
      <c r="J59" s="1487">
        <v>0.8</v>
      </c>
      <c r="K59" s="1487">
        <v>0.83</v>
      </c>
      <c r="L59" s="1488">
        <v>0.06</v>
      </c>
      <c r="N59" s="1524">
        <f t="shared" si="67"/>
        <v>2.2725428130833527E-2</v>
      </c>
      <c r="O59" s="1525">
        <f t="shared" si="67"/>
        <v>1.7012227538543329E-2</v>
      </c>
      <c r="P59" s="1525">
        <f t="shared" si="68"/>
        <v>3.6925814703592477E-2</v>
      </c>
      <c r="Q59" s="1525">
        <f t="shared" si="68"/>
        <v>2.8846153846153744E-2</v>
      </c>
      <c r="R59" s="1474"/>
      <c r="S59" s="1472"/>
      <c r="T59" s="1473"/>
      <c r="U59" s="1473"/>
      <c r="V59" s="1473"/>
      <c r="X59" s="1526"/>
      <c r="Y59" s="1526"/>
      <c r="Z59" s="1526"/>
    </row>
    <row r="60" spans="1:26">
      <c r="A60" s="1461" t="s">
        <v>1201</v>
      </c>
      <c r="B60" s="1477">
        <f t="shared" si="69"/>
        <v>116.99099099099099</v>
      </c>
      <c r="C60" s="1477">
        <f t="shared" si="69"/>
        <v>118.84848484848486</v>
      </c>
      <c r="D60" s="1477">
        <f t="shared" si="35"/>
        <v>118.84848484848486</v>
      </c>
      <c r="E60" s="1477">
        <f t="shared" si="70"/>
        <v>117.60960960960961</v>
      </c>
      <c r="F60" s="1477">
        <f t="shared" si="70"/>
        <v>104</v>
      </c>
      <c r="G60" s="3377">
        <v>2004</v>
      </c>
      <c r="H60" s="1465">
        <v>2</v>
      </c>
      <c r="I60" s="1465">
        <v>1</v>
      </c>
      <c r="J60" s="1465">
        <v>1.5</v>
      </c>
      <c r="K60" s="1465">
        <v>1.5</v>
      </c>
      <c r="L60" s="1479">
        <v>0</v>
      </c>
      <c r="N60" s="1524">
        <f t="shared" si="67"/>
        <v>4.0581121662202721E-2</v>
      </c>
      <c r="O60" s="1525">
        <f t="shared" si="67"/>
        <v>3.1897926634768738E-2</v>
      </c>
      <c r="P60" s="1525">
        <f t="shared" si="68"/>
        <v>6.6733400066733395E-2</v>
      </c>
      <c r="Q60" s="1525">
        <f t="shared" si="68"/>
        <v>0</v>
      </c>
      <c r="R60" s="1474"/>
      <c r="S60" s="1472"/>
      <c r="T60" s="1473"/>
      <c r="U60" s="1473"/>
      <c r="V60" s="1473"/>
      <c r="X60" s="1526"/>
      <c r="Y60" s="1526"/>
      <c r="Z60" s="1526"/>
    </row>
    <row r="61" spans="1:26" s="1517" customFormat="1" ht="13.5" thickBot="1">
      <c r="A61" s="1461" t="s">
        <v>1202</v>
      </c>
      <c r="B61" s="1514">
        <f t="shared" si="69"/>
        <v>112.48648648648648</v>
      </c>
      <c r="C61" s="1514">
        <f t="shared" si="69"/>
        <v>115.21212121212122</v>
      </c>
      <c r="D61" s="1514">
        <f t="shared" si="35"/>
        <v>115.21212121212122</v>
      </c>
      <c r="E61" s="1514">
        <f t="shared" si="70"/>
        <v>110.4024024024024</v>
      </c>
      <c r="F61" s="1514">
        <f t="shared" si="70"/>
        <v>104</v>
      </c>
      <c r="G61" s="3378">
        <v>2004</v>
      </c>
      <c r="H61" s="1515">
        <v>1</v>
      </c>
      <c r="I61" s="1515">
        <v>0.33</v>
      </c>
      <c r="J61" s="1515">
        <v>0.5</v>
      </c>
      <c r="K61" s="1515">
        <v>0.5</v>
      </c>
      <c r="L61" s="1516">
        <v>0</v>
      </c>
      <c r="N61" s="1529">
        <f t="shared" si="67"/>
        <v>1.3391770148526898E-2</v>
      </c>
      <c r="O61" s="1530">
        <f t="shared" si="67"/>
        <v>1.063264221158958E-2</v>
      </c>
      <c r="P61" s="1530">
        <f t="shared" si="68"/>
        <v>2.2244466688911134E-2</v>
      </c>
      <c r="Q61" s="1530">
        <f t="shared" si="68"/>
        <v>0</v>
      </c>
      <c r="R61" s="1520"/>
      <c r="S61" s="1518">
        <f>B61/B62-1</f>
        <v>1.3391770148526883E-2</v>
      </c>
      <c r="T61" s="1519">
        <f>C61/C62-1</f>
        <v>1.063264221158966E-2</v>
      </c>
      <c r="U61" s="1519">
        <f>E61/E62-1</f>
        <v>2.2244466688911224E-2</v>
      </c>
      <c r="V61" s="1519">
        <f>F61/F62-1</f>
        <v>0</v>
      </c>
      <c r="X61" s="1531"/>
      <c r="Y61" s="1531"/>
      <c r="Z61" s="1531"/>
    </row>
    <row r="62" spans="1:26" ht="13.5" thickBot="1">
      <c r="A62" s="1461" t="s">
        <v>1203</v>
      </c>
      <c r="B62" s="1532">
        <v>111</v>
      </c>
      <c r="C62" s="1532">
        <v>114</v>
      </c>
      <c r="D62" s="1532">
        <f t="shared" si="35"/>
        <v>114</v>
      </c>
      <c r="E62" s="1532">
        <v>108</v>
      </c>
      <c r="F62" s="1533">
        <v>104</v>
      </c>
      <c r="G62" s="3376">
        <v>2003</v>
      </c>
      <c r="H62" s="1522">
        <v>4</v>
      </c>
      <c r="I62" s="1534"/>
      <c r="J62" s="1534"/>
      <c r="K62" s="1534"/>
      <c r="L62" s="1534"/>
      <c r="N62" s="1535"/>
      <c r="O62" s="1534"/>
      <c r="P62" s="1534"/>
      <c r="Q62" s="1534"/>
      <c r="S62" s="1535"/>
      <c r="T62" s="1534"/>
      <c r="U62" s="1534"/>
      <c r="V62" s="1534"/>
      <c r="X62" s="1526"/>
      <c r="Y62" s="1526"/>
      <c r="Z62" s="1526"/>
    </row>
    <row r="63" spans="1:26">
      <c r="A63" s="1461" t="s">
        <v>1204</v>
      </c>
      <c r="B63" s="1536">
        <f t="shared" ref="B63:C65" si="71">B64+(B$62-B$66)/4</f>
        <v>109.75</v>
      </c>
      <c r="C63" s="1536">
        <f t="shared" si="71"/>
        <v>112.25</v>
      </c>
      <c r="D63" s="1536">
        <f t="shared" si="35"/>
        <v>112.25</v>
      </c>
      <c r="E63" s="1536">
        <f t="shared" ref="E63:F65" si="72">E64+(E$62-E$66)/4</f>
        <v>107.25</v>
      </c>
      <c r="F63" s="1536">
        <f t="shared" si="72"/>
        <v>103.5</v>
      </c>
      <c r="G63" s="3377">
        <v>2003</v>
      </c>
      <c r="H63" s="1487">
        <v>3</v>
      </c>
      <c r="I63" s="1534"/>
      <c r="J63" s="1534"/>
      <c r="K63" s="1534"/>
      <c r="L63" s="1534"/>
      <c r="X63" s="1526"/>
      <c r="Y63" s="1526"/>
      <c r="Z63" s="1526"/>
    </row>
    <row r="64" spans="1:26">
      <c r="A64" s="1461" t="s">
        <v>1205</v>
      </c>
      <c r="B64" s="1536">
        <f t="shared" si="71"/>
        <v>108.5</v>
      </c>
      <c r="C64" s="1536">
        <f t="shared" si="71"/>
        <v>110.5</v>
      </c>
      <c r="D64" s="1536">
        <f t="shared" si="35"/>
        <v>110.5</v>
      </c>
      <c r="E64" s="1536">
        <f t="shared" si="72"/>
        <v>106.5</v>
      </c>
      <c r="F64" s="1536">
        <f t="shared" si="72"/>
        <v>103</v>
      </c>
      <c r="G64" s="3377">
        <v>2003</v>
      </c>
      <c r="H64" s="1465">
        <v>2</v>
      </c>
      <c r="I64" s="1534"/>
      <c r="J64" s="1534"/>
      <c r="K64" s="1534"/>
      <c r="L64" s="1534"/>
      <c r="X64" s="1526"/>
      <c r="Y64" s="1526"/>
      <c r="Z64" s="1526"/>
    </row>
    <row r="65" spans="1:26" ht="13.5" thickBot="1">
      <c r="A65" s="1461" t="s">
        <v>1206</v>
      </c>
      <c r="B65" s="1536">
        <f t="shared" si="71"/>
        <v>107.25</v>
      </c>
      <c r="C65" s="1536">
        <f t="shared" si="71"/>
        <v>108.75</v>
      </c>
      <c r="D65" s="1536">
        <f t="shared" si="35"/>
        <v>108.75</v>
      </c>
      <c r="E65" s="1536">
        <f t="shared" si="72"/>
        <v>105.75</v>
      </c>
      <c r="F65" s="1536">
        <f t="shared" si="72"/>
        <v>102.5</v>
      </c>
      <c r="G65" s="3378">
        <v>2003</v>
      </c>
      <c r="H65" s="1537">
        <v>1</v>
      </c>
      <c r="I65" s="1534"/>
      <c r="J65" s="1534"/>
      <c r="K65" s="1534"/>
      <c r="L65" s="1534"/>
      <c r="S65" s="1472"/>
      <c r="T65" s="1473"/>
      <c r="U65" s="1473"/>
      <c r="X65" s="1526"/>
      <c r="Y65" s="1526"/>
      <c r="Z65" s="1526"/>
    </row>
    <row r="66" spans="1:26" ht="13.5" thickBot="1">
      <c r="A66" s="1461" t="s">
        <v>1207</v>
      </c>
      <c r="B66" s="1538">
        <v>106</v>
      </c>
      <c r="C66" s="1538">
        <v>107</v>
      </c>
      <c r="D66" s="1538">
        <f t="shared" si="35"/>
        <v>107</v>
      </c>
      <c r="E66" s="1538">
        <v>105</v>
      </c>
      <c r="F66" s="1539">
        <v>102</v>
      </c>
      <c r="G66" s="3376">
        <v>2002</v>
      </c>
      <c r="H66" s="1482">
        <v>4</v>
      </c>
      <c r="I66" s="1534"/>
      <c r="J66" s="1534"/>
      <c r="K66" s="1534"/>
      <c r="L66" s="1534"/>
      <c r="N66" s="1535"/>
      <c r="O66" s="1534"/>
      <c r="P66" s="1534"/>
      <c r="Q66" s="1534"/>
      <c r="S66" s="1535"/>
      <c r="T66" s="1534"/>
      <c r="U66" s="1534"/>
      <c r="V66" s="1534"/>
      <c r="X66" s="1526"/>
      <c r="Y66" s="1526"/>
      <c r="Z66" s="1526"/>
    </row>
    <row r="67" spans="1:26">
      <c r="A67" s="1461" t="s">
        <v>1208</v>
      </c>
      <c r="B67" s="1536">
        <f t="shared" ref="B67:C69" si="73">B68+(B$66-B$70)/4</f>
        <v>105</v>
      </c>
      <c r="C67" s="1536">
        <f t="shared" si="73"/>
        <v>106</v>
      </c>
      <c r="D67" s="1536">
        <f t="shared" si="35"/>
        <v>106</v>
      </c>
      <c r="E67" s="1536">
        <f t="shared" ref="E67:F69" si="74">E68+(E$66-E$70)/4</f>
        <v>104.5</v>
      </c>
      <c r="F67" s="1536">
        <f t="shared" si="74"/>
        <v>101.5</v>
      </c>
      <c r="G67" s="3377">
        <v>2002</v>
      </c>
      <c r="H67" s="1487">
        <v>3</v>
      </c>
      <c r="I67" s="1534"/>
      <c r="J67" s="1534"/>
      <c r="K67" s="1534"/>
      <c r="L67" s="1534"/>
      <c r="X67" s="1526"/>
      <c r="Y67" s="1526"/>
      <c r="Z67" s="1526"/>
    </row>
    <row r="68" spans="1:26">
      <c r="A68" s="1461" t="s">
        <v>1209</v>
      </c>
      <c r="B68" s="1536">
        <f t="shared" si="73"/>
        <v>104</v>
      </c>
      <c r="C68" s="1536">
        <f t="shared" si="73"/>
        <v>105</v>
      </c>
      <c r="D68" s="1536">
        <f t="shared" si="35"/>
        <v>105</v>
      </c>
      <c r="E68" s="1536">
        <f t="shared" si="74"/>
        <v>104</v>
      </c>
      <c r="F68" s="1536">
        <f t="shared" si="74"/>
        <v>101</v>
      </c>
      <c r="G68" s="3377">
        <v>2002</v>
      </c>
      <c r="H68" s="1465">
        <v>2</v>
      </c>
      <c r="I68" s="1534"/>
      <c r="J68" s="1534"/>
      <c r="K68" s="1534"/>
      <c r="L68" s="1534"/>
      <c r="X68" s="1526"/>
      <c r="Y68" s="1526"/>
      <c r="Z68" s="1526"/>
    </row>
    <row r="69" spans="1:26" s="1498" customFormat="1" ht="13.5" thickBot="1">
      <c r="A69" s="1494" t="s">
        <v>1210</v>
      </c>
      <c r="B69" s="1540">
        <f t="shared" si="73"/>
        <v>103</v>
      </c>
      <c r="C69" s="1540">
        <f t="shared" si="73"/>
        <v>104</v>
      </c>
      <c r="D69" s="1540">
        <f t="shared" si="35"/>
        <v>104</v>
      </c>
      <c r="E69" s="1540">
        <f t="shared" si="74"/>
        <v>103.5</v>
      </c>
      <c r="F69" s="1540">
        <f t="shared" si="74"/>
        <v>100.5</v>
      </c>
      <c r="G69" s="3378">
        <v>2002</v>
      </c>
      <c r="H69" s="1541">
        <v>1</v>
      </c>
      <c r="I69" s="1542"/>
      <c r="J69" s="1542"/>
      <c r="K69" s="1542"/>
      <c r="L69" s="1542"/>
      <c r="N69" s="1543"/>
      <c r="S69" s="1543"/>
      <c r="X69" s="1544"/>
      <c r="Y69" s="1544"/>
      <c r="Z69" s="1544"/>
    </row>
    <row r="70" spans="1:26" ht="13.5" thickBot="1">
      <c r="B70" s="1545">
        <v>102</v>
      </c>
      <c r="C70" s="1546">
        <v>103</v>
      </c>
      <c r="D70" s="1546">
        <f t="shared" si="35"/>
        <v>103</v>
      </c>
      <c r="E70" s="1546">
        <v>103</v>
      </c>
      <c r="F70" s="1547">
        <v>100</v>
      </c>
      <c r="I70" s="1534"/>
      <c r="J70" s="1534"/>
      <c r="K70" s="1534"/>
      <c r="L70" s="1534"/>
      <c r="N70" s="1535"/>
      <c r="O70" s="1534"/>
      <c r="P70" s="1534"/>
      <c r="Q70" s="1534"/>
      <c r="S70" s="1535"/>
      <c r="T70" s="1534"/>
      <c r="U70" s="1534"/>
      <c r="V70" s="1534"/>
      <c r="X70" s="1476"/>
      <c r="Y70" s="1476"/>
      <c r="Z70" s="1476"/>
    </row>
    <row r="72" spans="1:26" s="1549" customFormat="1">
      <c r="A72" s="1548" t="s">
        <v>1211</v>
      </c>
      <c r="G72" s="1550"/>
      <c r="N72" s="1550"/>
      <c r="S72" s="1550"/>
    </row>
    <row r="73" spans="1:26" s="1549" customFormat="1">
      <c r="A73" s="1549" t="s">
        <v>1212</v>
      </c>
      <c r="G73" s="1550"/>
      <c r="N73" s="1550"/>
      <c r="S73" s="1550"/>
    </row>
    <row r="74" spans="1:26" s="1549" customFormat="1">
      <c r="A74" s="1549" t="s">
        <v>1213</v>
      </c>
      <c r="G74" s="1550"/>
      <c r="I74" s="1551"/>
      <c r="J74" s="1551"/>
      <c r="K74" s="1551"/>
      <c r="L74" s="1551"/>
      <c r="N74" s="1552"/>
      <c r="O74" s="1551"/>
      <c r="P74" s="1551"/>
      <c r="Q74" s="1551"/>
      <c r="S74" s="1552"/>
      <c r="T74" s="1551"/>
      <c r="U74" s="1551"/>
      <c r="V74" s="1551"/>
    </row>
    <row r="75" spans="1:26" s="1549" customFormat="1">
      <c r="A75" s="1549" t="s">
        <v>1214</v>
      </c>
      <c r="G75" s="1550"/>
      <c r="N75" s="1550"/>
      <c r="S75" s="1550"/>
    </row>
    <row r="82" spans="7:22" ht="13.5" thickBot="1"/>
    <row r="83" spans="7:22">
      <c r="G83" s="1471"/>
      <c r="S83" s="1553" t="s">
        <v>1215</v>
      </c>
      <c r="T83" s="1554" t="s">
        <v>1216</v>
      </c>
      <c r="U83" s="1554" t="s">
        <v>1217</v>
      </c>
      <c r="V83" s="1554" t="s">
        <v>1218</v>
      </c>
    </row>
    <row r="84" spans="7:22">
      <c r="G84" s="1471"/>
      <c r="N84" s="1475"/>
      <c r="O84" s="1476"/>
      <c r="P84" s="1476"/>
      <c r="Q84" s="1476"/>
      <c r="S84" s="1555">
        <v>2006</v>
      </c>
      <c r="T84" s="1556">
        <v>15.1</v>
      </c>
      <c r="U84" s="1556">
        <v>7.43</v>
      </c>
      <c r="V84" s="1556">
        <v>26.26</v>
      </c>
    </row>
    <row r="85" spans="7:22">
      <c r="G85" s="1471"/>
      <c r="N85" s="1475"/>
      <c r="O85" s="1476"/>
      <c r="P85" s="1476"/>
      <c r="Q85" s="1476"/>
      <c r="S85" s="1557">
        <v>2005</v>
      </c>
      <c r="T85" s="1558">
        <v>13.9</v>
      </c>
      <c r="U85" s="1558">
        <v>7.49</v>
      </c>
      <c r="V85" s="1558">
        <v>24.92</v>
      </c>
    </row>
    <row r="86" spans="7:22">
      <c r="G86" s="1471"/>
      <c r="N86" s="1475"/>
      <c r="O86" s="1476"/>
      <c r="P86" s="1476"/>
      <c r="Q86" s="1476"/>
      <c r="S86" s="1555">
        <v>2004</v>
      </c>
      <c r="T86" s="1556">
        <v>9.48</v>
      </c>
      <c r="U86" s="1556">
        <v>7.2</v>
      </c>
      <c r="V86" s="1556">
        <v>14.68</v>
      </c>
    </row>
    <row r="87" spans="7:22">
      <c r="G87" s="1471"/>
      <c r="N87" s="1475"/>
      <c r="O87" s="1476"/>
      <c r="P87" s="1476"/>
      <c r="Q87" s="1476"/>
      <c r="S87" s="1557">
        <v>2003</v>
      </c>
      <c r="T87" s="1558">
        <v>4.5</v>
      </c>
      <c r="U87" s="1558">
        <v>6.12</v>
      </c>
      <c r="V87" s="1558">
        <v>2.34</v>
      </c>
    </row>
    <row r="88" spans="7:22" ht="13.5" thickBot="1">
      <c r="G88" s="1471"/>
      <c r="N88" s="1475"/>
      <c r="O88" s="1476"/>
      <c r="P88" s="1476"/>
      <c r="Q88" s="1476"/>
      <c r="S88" s="1559">
        <v>2002</v>
      </c>
      <c r="T88" s="1560">
        <v>3.59</v>
      </c>
      <c r="U88" s="1560">
        <v>4.54</v>
      </c>
      <c r="V88" s="1560">
        <v>2.5499999999999998</v>
      </c>
    </row>
    <row r="89" spans="7:22">
      <c r="G89" s="1471"/>
      <c r="N89" s="1475"/>
      <c r="O89" s="1476"/>
      <c r="P89" s="1476"/>
      <c r="Q89" s="1476"/>
    </row>
    <row r="90" spans="7:22">
      <c r="G90" s="1471"/>
      <c r="N90" s="1475"/>
      <c r="O90" s="1476"/>
      <c r="P90" s="1476"/>
      <c r="Q90" s="1476"/>
    </row>
    <row r="91" spans="7:22">
      <c r="G91" s="1471"/>
      <c r="N91" s="1475"/>
      <c r="O91" s="1476"/>
      <c r="P91" s="1476"/>
      <c r="Q91" s="1476"/>
    </row>
    <row r="92" spans="7:22">
      <c r="G92" s="1471"/>
      <c r="N92" s="1475"/>
      <c r="O92" s="1476"/>
      <c r="P92" s="1476"/>
      <c r="Q92" s="1476"/>
    </row>
    <row r="93" spans="7:22">
      <c r="G93" s="1471"/>
      <c r="N93" s="1475"/>
      <c r="O93" s="1476"/>
      <c r="P93" s="1476"/>
      <c r="Q93" s="1476"/>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c r="S99" s="1471"/>
    </row>
    <row r="100" spans="7:19">
      <c r="G100" s="1471"/>
      <c r="N100" s="1475"/>
      <c r="O100" s="1476"/>
      <c r="P100" s="1476"/>
      <c r="Q100" s="1476"/>
      <c r="S100" s="1471"/>
    </row>
    <row r="101" spans="7:19">
      <c r="G101" s="1471"/>
      <c r="N101" s="1475"/>
      <c r="O101" s="1476"/>
      <c r="P101" s="1476"/>
      <c r="Q101" s="1476"/>
      <c r="S101" s="1471"/>
    </row>
    <row r="102" spans="7:19">
      <c r="G102" s="1471"/>
      <c r="N102" s="1475"/>
      <c r="O102" s="1476"/>
      <c r="P102" s="1476"/>
      <c r="Q102" s="1476"/>
      <c r="S102" s="1471"/>
    </row>
    <row r="103" spans="7:19">
      <c r="G103" s="1471"/>
      <c r="N103" s="1475"/>
      <c r="O103" s="1476"/>
      <c r="P103" s="1476"/>
      <c r="Q103" s="1476"/>
      <c r="S103" s="1471"/>
    </row>
    <row r="104" spans="7:19">
      <c r="G104" s="1471"/>
      <c r="N104" s="1475"/>
      <c r="O104" s="1476"/>
      <c r="P104" s="1476"/>
      <c r="Q104" s="1476"/>
      <c r="S104" s="1471"/>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6" sqref="D6"/>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2457</v>
      </c>
      <c r="B1" s="1581"/>
      <c r="C1" s="1582"/>
      <c r="D1" s="1580"/>
      <c r="E1" s="320"/>
      <c r="F1" s="320"/>
      <c r="G1" s="1581"/>
      <c r="H1" s="320"/>
      <c r="I1" s="320"/>
      <c r="J1" s="320"/>
      <c r="K1" s="320">
        <f>MATCH(C1,'数据-取费表'!A6:A16,0)+5</f>
        <v>12</v>
      </c>
    </row>
    <row r="2" spans="1:33" ht="18" customHeight="1">
      <c r="A2" s="245" t="s">
        <v>2325</v>
      </c>
      <c r="B2" s="248">
        <f ca="1">C32</f>
        <v>302874</v>
      </c>
      <c r="C2" s="320" t="s">
        <v>2458</v>
      </c>
      <c r="D2" s="320"/>
      <c r="E2" s="320"/>
      <c r="F2" s="320"/>
      <c r="G2" s="320"/>
      <c r="H2" s="320"/>
      <c r="I2" s="320"/>
      <c r="J2" s="320"/>
      <c r="K2" s="320"/>
    </row>
    <row r="3" spans="1:33" ht="18" customHeight="1" thickBot="1">
      <c r="A3" s="247" t="s">
        <v>2327</v>
      </c>
      <c r="B3" s="248">
        <f ca="1">ROUND(B2*10000/IF(C1="",'数据-汇总表'!E3,INDIRECT("'数据-取费表'!K"&amp;$K$1)),0)</f>
        <v>25810</v>
      </c>
      <c r="C3" s="320" t="s">
        <v>2459</v>
      </c>
      <c r="D3" s="320"/>
      <c r="E3" s="320"/>
      <c r="F3" s="320"/>
      <c r="G3" s="320"/>
      <c r="H3" s="320"/>
      <c r="I3" s="320"/>
      <c r="J3" s="320"/>
      <c r="K3" s="320"/>
    </row>
    <row r="4" spans="1:33" s="956" customFormat="1" ht="16.5" customHeight="1">
      <c r="A4" s="953" t="s">
        <v>2460</v>
      </c>
      <c r="B4" s="954"/>
      <c r="C4" s="996">
        <f ca="1">SUM(C8:K8)</f>
        <v>386647.45199999993</v>
      </c>
      <c r="D4" s="954"/>
      <c r="E4" s="954"/>
      <c r="F4" s="954"/>
      <c r="G4" s="954"/>
      <c r="H4" s="954"/>
      <c r="I4" s="954"/>
      <c r="J4" s="954"/>
      <c r="K4" s="955"/>
    </row>
    <row r="5" spans="1:33" s="960" customFormat="1" ht="15">
      <c r="A5" s="957" t="s">
        <v>2461</v>
      </c>
      <c r="B5" s="958" t="s">
        <v>2462</v>
      </c>
      <c r="C5" s="2552" t="s">
        <v>3158</v>
      </c>
      <c r="D5" s="2552" t="s">
        <v>3160</v>
      </c>
      <c r="E5" s="2552" t="s">
        <v>3162</v>
      </c>
      <c r="F5" s="2552" t="s">
        <v>48</v>
      </c>
      <c r="G5" s="2552" t="s">
        <v>3360</v>
      </c>
      <c r="H5" s="2552" t="s">
        <v>3393</v>
      </c>
      <c r="I5" s="2552"/>
      <c r="J5" s="2552"/>
      <c r="K5" s="2552"/>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2463</v>
      </c>
      <c r="C6" s="962">
        <f>'比较法-住宅'!B3</f>
        <v>68676</v>
      </c>
      <c r="D6" s="962">
        <v>12000</v>
      </c>
      <c r="E6" s="962">
        <f ca="1">'收益法（地下仓储）'!B3</f>
        <v>8652</v>
      </c>
      <c r="F6" s="962">
        <f ca="1">'收益法（地下车库）'!B3</f>
        <v>9491</v>
      </c>
      <c r="G6" s="962">
        <f ca="1">收益法叠拼车位!B3</f>
        <v>15398</v>
      </c>
      <c r="H6" s="962">
        <f ca="1">'收益法（商品房仓储）'!B3</f>
        <v>19774</v>
      </c>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2464</v>
      </c>
      <c r="B7" s="140" t="s">
        <v>2465</v>
      </c>
      <c r="C7" s="321">
        <f>SUMIF('数据-汇总表'!$C19:$C33,假设开发法!C5,'数据-汇总表'!$E19:$E33)</f>
        <v>40115.94</v>
      </c>
      <c r="D7" s="321">
        <f>SUMIF('数据-汇总表'!$C19:$C33,假设开发法!D5,'数据-汇总表'!$E19:$E33)</f>
        <v>11201.209999999926</v>
      </c>
      <c r="E7" s="321">
        <f>SUMIF('数据-汇总表'!$C19:$C33,假设开发法!E5,'数据-汇总表'!$E19:$E33)</f>
        <v>7758.13</v>
      </c>
      <c r="F7" s="321">
        <f>SUMIF('数据-汇总表'!$C19:$C33,假设开发法!F5,'数据-汇总表'!$E19:$E33)</f>
        <v>10208.15</v>
      </c>
      <c r="G7" s="321">
        <f>SUMIF('数据-汇总表'!$C19:$C33,假设开发法!G5,'数据-汇总表'!$E19:$E33)</f>
        <v>14993.36</v>
      </c>
      <c r="H7" s="321">
        <f>SUMIF('数据-汇总表'!$C19:$C33,假设开发法!H5,'数据-汇总表'!$E19:$E33)</f>
        <v>29441.34</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3" t="s">
        <v>2466</v>
      </c>
      <c r="B8" s="177" t="s">
        <v>2467</v>
      </c>
      <c r="C8" s="997">
        <f>'比较法-住宅'!B2</f>
        <v>275500</v>
      </c>
      <c r="D8" s="997">
        <f>D6*D7/10000</f>
        <v>13441.45199999991</v>
      </c>
      <c r="E8" s="997">
        <f ca="1">'收益法（地下仓储）'!B2</f>
        <v>6712</v>
      </c>
      <c r="F8" s="998">
        <f ca="1">'收益法（地下车库）'!B2</f>
        <v>9689</v>
      </c>
      <c r="G8" s="998">
        <f ca="1">收益法叠拼车位!B2</f>
        <v>23087</v>
      </c>
      <c r="H8" s="998">
        <f ca="1">'收益法（商品房仓储）'!B2</f>
        <v>58218</v>
      </c>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2468</v>
      </c>
      <c r="B9" s="954"/>
      <c r="C9" s="954"/>
      <c r="D9" s="954"/>
      <c r="E9" s="954"/>
      <c r="F9" s="954"/>
      <c r="G9" s="954"/>
      <c r="H9" s="954"/>
      <c r="I9" s="954"/>
      <c r="J9" s="954"/>
      <c r="K9" s="955"/>
    </row>
    <row r="10" spans="1:33" s="970" customFormat="1" ht="13.5" customHeight="1">
      <c r="A10" s="957" t="s">
        <v>2469</v>
      </c>
      <c r="B10" s="8" t="s">
        <v>2470</v>
      </c>
      <c r="C10" s="966" t="s">
        <v>2471</v>
      </c>
      <c r="D10" s="967" t="s">
        <v>2472</v>
      </c>
      <c r="E10" s="967" t="s">
        <v>2473</v>
      </c>
      <c r="F10" s="967" t="s">
        <v>2474</v>
      </c>
      <c r="G10" s="8"/>
      <c r="H10" s="968"/>
      <c r="I10" s="968"/>
      <c r="J10" s="968"/>
      <c r="K10" s="969"/>
    </row>
    <row r="11" spans="1:33" s="975" customFormat="1" ht="13.5" customHeight="1">
      <c r="A11" s="971" t="s">
        <v>1334</v>
      </c>
      <c r="B11" s="972" t="s">
        <v>2475</v>
      </c>
      <c r="C11" s="323">
        <f ca="1">IF(C1="",'数据-取费表'!P16,INDIRECT("'数据-取费表'!p"&amp;$K$1)+INDIRECT("'数据-取费表'!ar"&amp;$K$1))</f>
        <v>9905</v>
      </c>
      <c r="D11" s="973"/>
      <c r="E11" s="375"/>
      <c r="F11" s="974">
        <f ca="1">1-IF('数据-取费表'!B24=0,1,IF(C1="",'数据-取费表'!N16,INDIRECT("'数据-取费表'!n"&amp;$K$1)))</f>
        <v>0.36199999999999999</v>
      </c>
      <c r="G11" s="8"/>
      <c r="H11" s="968"/>
      <c r="I11" s="968"/>
      <c r="J11" s="968"/>
      <c r="K11" s="969"/>
    </row>
    <row r="12" spans="1:33" s="975" customFormat="1" ht="13.5" customHeight="1">
      <c r="A12" s="971" t="s">
        <v>1335</v>
      </c>
      <c r="B12" s="972" t="s">
        <v>2476</v>
      </c>
      <c r="C12" s="24">
        <f ca="1">ROUND(C11*F12,0)</f>
        <v>297</v>
      </c>
      <c r="D12" s="973"/>
      <c r="E12" s="375"/>
      <c r="F12" s="976">
        <f>'数据-取费表'!B33</f>
        <v>0.03</v>
      </c>
      <c r="G12" s="8" t="s">
        <v>2477</v>
      </c>
      <c r="H12" s="968"/>
      <c r="I12" s="968"/>
      <c r="J12" s="968"/>
      <c r="K12" s="969"/>
    </row>
    <row r="13" spans="1:33" s="975" customFormat="1" ht="13.5" customHeight="1">
      <c r="A13" s="971" t="s">
        <v>1336</v>
      </c>
      <c r="B13" s="972" t="s">
        <v>2478</v>
      </c>
      <c r="C13" s="24">
        <f ca="1">ROUND(IF(C1="",SUMIF('数据-取费表'!C:C,"住宅",'数据-取费表'!P:P)*F13,IF(INDIRECT("'数据-取费表'!c"&amp;$K$1)="住宅",INDIRECT("'数据-取费表'!P"&amp;$K$1)*F13,0)),0)</f>
        <v>473</v>
      </c>
      <c r="D13" s="1033"/>
      <c r="E13" s="375"/>
      <c r="F13" s="976">
        <f>'数据-取费表'!B34</f>
        <v>0.08</v>
      </c>
      <c r="G13" s="8" t="s">
        <v>2479</v>
      </c>
      <c r="H13" s="968"/>
      <c r="I13" s="968"/>
      <c r="J13" s="968"/>
      <c r="K13" s="969"/>
    </row>
    <row r="14" spans="1:33" s="977" customFormat="1" ht="13.5" customHeight="1">
      <c r="A14" s="971" t="s">
        <v>1337</v>
      </c>
      <c r="B14" s="972" t="s">
        <v>2480</v>
      </c>
      <c r="C14" s="24">
        <f ca="1">ROUND(D14*E14*F11/10000,0)</f>
        <v>850</v>
      </c>
      <c r="D14" s="1033">
        <f ca="1">IF(C1="",'数据-汇总表'!E3,INDIRECT("'数据-取费表'!K"&amp;$K$1)+INDIRECT("'数据-取费表'!S"&amp;$K$1))</f>
        <v>117348.15999999993</v>
      </c>
      <c r="E14" s="24">
        <f>'数据-取费表'!B35</f>
        <v>200</v>
      </c>
      <c r="F14" s="976"/>
      <c r="G14" s="8" t="s">
        <v>2481</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1338</v>
      </c>
      <c r="B15" s="972" t="s">
        <v>2482</v>
      </c>
      <c r="C15" s="983">
        <f ca="1">ROUND(C11*F15,0)</f>
        <v>149</v>
      </c>
      <c r="D15" s="978"/>
      <c r="E15" s="983"/>
      <c r="F15" s="984">
        <f>'数据-取费表'!B36</f>
        <v>1.4999999999999999E-2</v>
      </c>
      <c r="G15" s="140" t="s">
        <v>2483</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2484</v>
      </c>
      <c r="C16" s="983">
        <f ca="1">SUM(C11:C15)</f>
        <v>11674</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2485</v>
      </c>
      <c r="C17" s="24">
        <f ca="1">ROUND(D17*E17/10000,0)</f>
        <v>1291</v>
      </c>
      <c r="D17" s="1033">
        <f ca="1">D14</f>
        <v>117348.15999999993</v>
      </c>
      <c r="E17" s="24">
        <f>'数据-取费表'!B32</f>
        <v>110</v>
      </c>
      <c r="F17" s="978"/>
      <c r="G17" s="140" t="s">
        <v>2486</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1339</v>
      </c>
      <c r="B18" s="972" t="s">
        <v>2487</v>
      </c>
      <c r="C18" s="24">
        <f ca="1">C19+C20-IF(C1="",'数据-取费表'!B29,IF(G18="已全部缴纳",C19+C20,H18))</f>
        <v>2025</v>
      </c>
      <c r="D18" s="1033"/>
      <c r="E18" s="24"/>
      <c r="F18" s="976"/>
      <c r="G18" s="2554"/>
      <c r="H18" s="1577"/>
      <c r="I18" s="2555" t="s">
        <v>2488</v>
      </c>
      <c r="J18" s="979"/>
      <c r="K18" s="980"/>
    </row>
    <row r="19" spans="1:33" s="975" customFormat="1" ht="13.5" customHeight="1">
      <c r="A19" s="971" t="s">
        <v>805</v>
      </c>
      <c r="B19" s="972" t="s">
        <v>2489</v>
      </c>
      <c r="C19" s="24">
        <f ca="1">ROUND(D19*E19/10000,0)</f>
        <v>770</v>
      </c>
      <c r="D19" s="1033">
        <f ca="1">IF(C1="",'数据-汇总表'!E5,IF(INDIRECT("'数据-取费表'!c"&amp;$K$1)="住宅",INDIRECT("'数据-取费表'!k"&amp;$K$1),0))</f>
        <v>51317.149999999921</v>
      </c>
      <c r="E19" s="24">
        <f>'数据-取费表'!B27</f>
        <v>150</v>
      </c>
      <c r="F19" s="976"/>
      <c r="G19" s="15"/>
      <c r="H19" s="1579"/>
      <c r="I19" s="981"/>
      <c r="J19" s="981"/>
      <c r="K19" s="982"/>
    </row>
    <row r="20" spans="1:33" s="975" customFormat="1" ht="13.5" customHeight="1">
      <c r="A20" s="971" t="s">
        <v>806</v>
      </c>
      <c r="B20" s="972" t="s">
        <v>2490</v>
      </c>
      <c r="C20" s="24">
        <f ca="1">ROUND(D20*E20/10000,0)</f>
        <v>1255</v>
      </c>
      <c r="D20" s="1033">
        <f ca="1">IF(C1="",'数据-汇总表'!E6,IF(INDIRECT("'数据-取费表'!c"&amp;$K$1)="住宅",INDIRECT("'数据-取费表'!s"&amp;$K$1),INDIRECT("'数据-取费表'!k"&amp;$K$1)+INDIRECT("'数据-取费表'!s"&amp;$K$1)))</f>
        <v>66031.010000000009</v>
      </c>
      <c r="E20" s="24">
        <f>'数据-取费表'!B28</f>
        <v>190</v>
      </c>
      <c r="F20" s="976"/>
      <c r="G20" s="15"/>
      <c r="H20" s="981"/>
      <c r="I20" s="981"/>
      <c r="J20" s="981"/>
      <c r="K20" s="982"/>
    </row>
    <row r="21" spans="1:33" s="975" customFormat="1" ht="13.5" customHeight="1">
      <c r="A21" s="961" t="s">
        <v>802</v>
      </c>
      <c r="B21" s="985" t="s">
        <v>2491</v>
      </c>
      <c r="C21" s="986">
        <f ca="1">C16+C17+C18</f>
        <v>14990</v>
      </c>
      <c r="D21" s="987"/>
      <c r="E21" s="325"/>
      <c r="F21" s="325"/>
      <c r="G21" s="140" t="s">
        <v>2492</v>
      </c>
      <c r="H21" s="979"/>
      <c r="I21" s="979"/>
      <c r="J21" s="979"/>
      <c r="K21" s="980"/>
    </row>
    <row r="22" spans="1:33" s="975" customFormat="1" ht="13.5" customHeight="1">
      <c r="A22" s="961" t="s">
        <v>2464</v>
      </c>
      <c r="B22" s="985" t="s">
        <v>2493</v>
      </c>
      <c r="C22" s="986">
        <f ca="1">ROUND(C21*F22,0)</f>
        <v>300</v>
      </c>
      <c r="D22" s="325"/>
      <c r="E22" s="325"/>
      <c r="F22" s="988">
        <f>'数据-取费表'!B37</f>
        <v>0.02</v>
      </c>
      <c r="G22" s="8" t="s">
        <v>2494</v>
      </c>
      <c r="H22" s="968"/>
      <c r="I22" s="968"/>
      <c r="J22" s="968"/>
      <c r="K22" s="969"/>
    </row>
    <row r="23" spans="1:33" s="975" customFormat="1" ht="13.5" customHeight="1">
      <c r="A23" s="961" t="s">
        <v>2466</v>
      </c>
      <c r="B23" s="985" t="s">
        <v>2495</v>
      </c>
      <c r="C23" s="986">
        <f ca="1">ROUND(C4*F23*F11,0)</f>
        <v>2799</v>
      </c>
      <c r="D23" s="325"/>
      <c r="E23" s="325"/>
      <c r="F23" s="988">
        <f>'数据-取费表'!B38</f>
        <v>0.02</v>
      </c>
      <c r="G23" s="8" t="s">
        <v>2496</v>
      </c>
      <c r="H23" s="968"/>
      <c r="I23" s="968"/>
      <c r="J23" s="968"/>
      <c r="K23" s="969"/>
    </row>
    <row r="24" spans="1:33" s="975" customFormat="1" ht="13.5" customHeight="1">
      <c r="A24" s="961" t="s">
        <v>2497</v>
      </c>
      <c r="B24" s="985" t="s">
        <v>2498</v>
      </c>
      <c r="C24" s="324">
        <f>ROUND(F24/(1+'数据-取费表'!C42),4)</f>
        <v>2.9000000000000001E-2</v>
      </c>
      <c r="D24" s="325" t="s">
        <v>15</v>
      </c>
      <c r="E24" s="325"/>
      <c r="F24" s="988">
        <f>'数据-取费表'!B48+'数据-取费表'!B49</f>
        <v>3.0499999999999999E-2</v>
      </c>
      <c r="G24" s="8" t="s">
        <v>2499</v>
      </c>
      <c r="H24" s="990"/>
      <c r="I24" s="990"/>
      <c r="J24" s="990"/>
      <c r="K24" s="991"/>
    </row>
    <row r="25" spans="1:33" s="975" customFormat="1" ht="13.5" customHeight="1">
      <c r="A25" s="961" t="s">
        <v>2500</v>
      </c>
      <c r="B25" s="987" t="s">
        <v>2501</v>
      </c>
      <c r="C25" s="1356">
        <f ca="1">C27</f>
        <v>468</v>
      </c>
      <c r="D25" s="324">
        <f ca="1">C26</f>
        <v>5.3900000000000003E-2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2502</v>
      </c>
      <c r="C26" s="1357">
        <f ca="1">ROUND(IF('数据-取费表'!B22&lt;=1,(1+C24)*F25*'数据-取费表'!B24,(1+C24)*(POWER((1+F25),'数据-取费表'!B24)-1)),4)</f>
        <v>5.3900000000000003E-2</v>
      </c>
      <c r="D26" s="328"/>
      <c r="E26" s="329"/>
      <c r="F26" s="330"/>
      <c r="G26" s="2556"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2503</v>
      </c>
      <c r="C27" s="1358">
        <f ca="1">ROUND(IF('数据-取费表'!B22&lt;=1,(C21+C22+C23)*F25*'数据-取费表'!B24/2,(C21+C22+C23)*(POWER((1+F25),'数据-取费表'!B24/2)-1)),0)</f>
        <v>468</v>
      </c>
      <c r="D27" s="328"/>
      <c r="E27" s="329"/>
      <c r="F27" s="330"/>
      <c r="G27" s="2556" t="str">
        <f>IF('数据-取费表'!B22&lt;=1,"（1）-（3）项×年利率×建设期÷2","（1）-（3）项×((1+年利率)^(建设期÷2)-1)")</f>
        <v>（1）-（3）项×((1+年利率)^(建设期÷2)-1)</v>
      </c>
      <c r="H27" s="979"/>
      <c r="I27" s="979"/>
      <c r="J27" s="979"/>
      <c r="K27" s="980"/>
    </row>
    <row r="28" spans="1:33" s="333" customFormat="1" ht="13.5" customHeight="1">
      <c r="A28" s="961" t="s">
        <v>2504</v>
      </c>
      <c r="B28" s="2557" t="s">
        <v>2505</v>
      </c>
      <c r="C28" s="331">
        <f ca="1">C30</f>
        <v>2713</v>
      </c>
      <c r="D28" s="324">
        <f ca="1">C29</f>
        <v>5.6599999999999998E-2</v>
      </c>
      <c r="E28" s="326" t="s">
        <v>15</v>
      </c>
      <c r="F28" s="332">
        <f ca="1">IF(C1="",'数据-取费表'!Q16,INDIRECT("'数据-取费表'!q"&amp;$K$1))</f>
        <v>0.15</v>
      </c>
      <c r="G28" s="989"/>
      <c r="H28" s="990"/>
      <c r="I28" s="990"/>
      <c r="J28" s="990"/>
      <c r="K28" s="991"/>
    </row>
    <row r="29" spans="1:33" s="335" customFormat="1" ht="13.5" customHeight="1">
      <c r="A29" s="971" t="s">
        <v>803</v>
      </c>
      <c r="B29" s="994" t="s">
        <v>2506</v>
      </c>
      <c r="C29" s="328">
        <f ca="1">ROUND((1+C24)*F28*'数据-取费表'!B24/'数据-取费表'!B20,4)</f>
        <v>5.6599999999999998E-2</v>
      </c>
      <c r="D29" s="328"/>
      <c r="E29" s="329"/>
      <c r="F29" s="334"/>
      <c r="G29" s="140" t="s">
        <v>2507</v>
      </c>
      <c r="H29" s="979"/>
      <c r="I29" s="979"/>
      <c r="J29" s="979"/>
      <c r="K29" s="980"/>
    </row>
    <row r="30" spans="1:33" s="335" customFormat="1" ht="13.5" customHeight="1">
      <c r="A30" s="971" t="s">
        <v>804</v>
      </c>
      <c r="B30" s="994" t="s">
        <v>2508</v>
      </c>
      <c r="C30" s="336">
        <f ca="1">ROUND((C21+C22+C23)*F28,0)</f>
        <v>2713</v>
      </c>
      <c r="D30" s="328"/>
      <c r="E30" s="329"/>
      <c r="F30" s="334"/>
      <c r="G30" s="140"/>
      <c r="H30" s="979"/>
      <c r="I30" s="979"/>
      <c r="J30" s="979"/>
      <c r="K30" s="980"/>
    </row>
    <row r="31" spans="1:33" s="975" customFormat="1" ht="13.5" customHeight="1" thickBot="1">
      <c r="A31" s="2558" t="s">
        <v>2509</v>
      </c>
      <c r="B31" s="1005" t="s">
        <v>2510</v>
      </c>
      <c r="C31" s="1006">
        <f ca="1">ROUND(C4*F31/(1+'数据-取费表'!C42),0)</f>
        <v>20253</v>
      </c>
      <c r="D31" s="1007"/>
      <c r="E31" s="1008"/>
      <c r="F31" s="1009">
        <f>'数据-取费表'!B41</f>
        <v>5.5000000000000007E-2</v>
      </c>
      <c r="G31" s="1010" t="s">
        <v>2511</v>
      </c>
      <c r="H31" s="1011"/>
      <c r="I31" s="1011"/>
      <c r="J31" s="1011"/>
      <c r="K31" s="1012"/>
    </row>
    <row r="32" spans="1:33" s="970" customFormat="1" ht="13.5" customHeight="1" thickBot="1">
      <c r="A32" s="1000" t="s">
        <v>2512</v>
      </c>
      <c r="B32" s="1001"/>
      <c r="C32" s="1002">
        <f ca="1">ROUND((C4-C21-C22-C23-C25-C28-C31)/(1+C24+D25+D28),0)</f>
        <v>302874</v>
      </c>
      <c r="D32" s="1001"/>
      <c r="E32" s="1001"/>
      <c r="F32" s="1001"/>
      <c r="G32" s="1003" t="s">
        <v>2513</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J125" sqref="J12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2523</v>
      </c>
      <c r="B1" s="2580" t="s">
        <v>2524</v>
      </c>
      <c r="C1" s="1634" t="s">
        <v>2525</v>
      </c>
      <c r="D1" s="1621" t="s">
        <v>3158</v>
      </c>
      <c r="E1" s="2581"/>
      <c r="F1" s="2582" t="s">
        <v>2526</v>
      </c>
      <c r="G1" s="1631" t="s">
        <v>2527</v>
      </c>
      <c r="H1" s="1630"/>
      <c r="I1" s="1630"/>
      <c r="J1" s="1630"/>
      <c r="K1" s="1632"/>
      <c r="L1" s="1633"/>
      <c r="M1" s="1634"/>
      <c r="N1" s="1634"/>
      <c r="O1" s="1634"/>
      <c r="P1" s="2583"/>
      <c r="Q1" s="1620"/>
      <c r="R1" s="1620"/>
      <c r="S1" s="1620"/>
      <c r="T1" s="1620"/>
      <c r="U1" s="1620"/>
      <c r="V1" s="1620"/>
      <c r="W1" s="1620"/>
      <c r="X1" s="1620"/>
      <c r="Y1" s="1620"/>
      <c r="Z1" s="1620"/>
      <c r="AA1" s="1620"/>
      <c r="AB1" s="1620"/>
      <c r="AC1" s="1628"/>
    </row>
    <row r="2" spans="1:29" s="393" customFormat="1" ht="28.5" customHeight="1" thickTop="1">
      <c r="A2" s="1617" t="s">
        <v>1394</v>
      </c>
      <c r="B2" s="1418">
        <f>IF(C2="——",ROUND(C49*D3/10000,0),ROUND(C49*D3/10000,0)-D2)</f>
        <v>275500</v>
      </c>
      <c r="C2" s="2584" t="s">
        <v>70</v>
      </c>
      <c r="D2" s="1365" t="e">
        <f ca="1">SUMIF(INDIRECT("'"&amp;F2&amp;"'"&amp;"!A:A"),"承租人权益价值",INDIRECT("'"&amp;F2&amp;"'"&amp;"!c:c"))</f>
        <v>#REF!</v>
      </c>
      <c r="E2" s="2585" t="s">
        <v>2528</v>
      </c>
      <c r="F2" s="2586"/>
      <c r="G2" s="1124"/>
      <c r="H2" s="1124"/>
      <c r="I2" s="1124"/>
      <c r="J2" s="1124"/>
      <c r="K2" s="2587"/>
      <c r="L2" s="2588"/>
      <c r="M2" s="2589"/>
      <c r="N2" s="2589"/>
      <c r="O2" s="2589"/>
      <c r="P2" s="2590"/>
      <c r="Q2" s="2591"/>
      <c r="R2" s="2591"/>
      <c r="S2" s="2591"/>
      <c r="T2" s="2591"/>
      <c r="U2" s="2591"/>
      <c r="V2" s="2591"/>
      <c r="W2" s="2591"/>
      <c r="X2" s="2591"/>
      <c r="Y2" s="2591"/>
      <c r="Z2" s="2591"/>
      <c r="AA2" s="2591"/>
      <c r="AB2" s="2591"/>
      <c r="AC2" s="2592"/>
    </row>
    <row r="3" spans="1:29" s="393" customFormat="1" ht="28.5" customHeight="1" thickBot="1">
      <c r="A3" s="247" t="s">
        <v>1395</v>
      </c>
      <c r="B3" s="399">
        <f>IF(C2="——",C49,ROUND(B2*10000/D3,0))</f>
        <v>68676</v>
      </c>
      <c r="C3" s="400" t="s">
        <v>2529</v>
      </c>
      <c r="D3" s="399">
        <f>IF(D1="",'数据-汇总表'!E3,SUMIF('数据-汇总表'!$C19:$C33,D1,'数据-汇总表'!$E19:$E33))</f>
        <v>40115.94</v>
      </c>
      <c r="E3" s="1124"/>
      <c r="F3" s="2593"/>
      <c r="G3" s="1124"/>
      <c r="H3" s="1124"/>
      <c r="I3" s="1124"/>
      <c r="J3" s="1124"/>
      <c r="K3" s="2587"/>
      <c r="L3" s="2588"/>
      <c r="M3" s="2589"/>
      <c r="N3" s="2589"/>
      <c r="O3" s="2589"/>
      <c r="P3" s="2590"/>
      <c r="Q3" s="2591"/>
      <c r="R3" s="2591"/>
      <c r="S3" s="2591"/>
      <c r="T3" s="2591"/>
      <c r="U3" s="2591"/>
      <c r="V3" s="2591"/>
      <c r="W3" s="2591"/>
      <c r="X3" s="2591"/>
      <c r="Y3" s="2591"/>
      <c r="Z3" s="2591"/>
      <c r="AA3" s="2591"/>
      <c r="AB3" s="2591"/>
      <c r="AC3" s="1282"/>
    </row>
    <row r="4" spans="1:29" ht="15">
      <c r="A4" s="401" t="s">
        <v>2530</v>
      </c>
      <c r="B4" s="402"/>
      <c r="C4" s="3317" t="s">
        <v>2531</v>
      </c>
      <c r="D4" s="3330"/>
      <c r="E4" s="3331" t="s">
        <v>2532</v>
      </c>
      <c r="F4" s="3332"/>
      <c r="G4" s="3317" t="s">
        <v>2533</v>
      </c>
      <c r="H4" s="3330"/>
      <c r="I4" s="3317" t="s">
        <v>2534</v>
      </c>
      <c r="J4" s="3330"/>
      <c r="K4" s="2594" t="s">
        <v>2535</v>
      </c>
      <c r="L4" s="1130"/>
      <c r="M4" s="1131"/>
      <c r="N4" s="1131"/>
      <c r="O4" s="1131"/>
      <c r="P4" s="3333" t="s">
        <v>2536</v>
      </c>
      <c r="Q4" s="3334"/>
      <c r="R4" s="3339" t="s">
        <v>2532</v>
      </c>
      <c r="S4" s="3340"/>
      <c r="T4" s="3339" t="s">
        <v>2533</v>
      </c>
      <c r="U4" s="3340"/>
      <c r="V4" s="3326" t="s">
        <v>2534</v>
      </c>
      <c r="W4" s="3326"/>
      <c r="X4" s="1813"/>
      <c r="Y4" s="3339" t="s">
        <v>2536</v>
      </c>
      <c r="Z4" s="3340"/>
      <c r="AA4" s="3327" t="s">
        <v>2532</v>
      </c>
      <c r="AB4" s="3327" t="s">
        <v>2533</v>
      </c>
      <c r="AC4" s="3327" t="s">
        <v>2534</v>
      </c>
    </row>
    <row r="5" spans="1:29" ht="15">
      <c r="A5" s="404"/>
      <c r="B5" s="405"/>
      <c r="C5" s="3347" t="s">
        <v>3171</v>
      </c>
      <c r="D5" s="3348"/>
      <c r="E5" s="3354" t="s">
        <v>3172</v>
      </c>
      <c r="F5" s="3355"/>
      <c r="G5" s="3347" t="s">
        <v>3173</v>
      </c>
      <c r="H5" s="3348"/>
      <c r="I5" s="3347" t="s">
        <v>3174</v>
      </c>
      <c r="J5" s="3348"/>
      <c r="K5" s="2595"/>
      <c r="L5" s="1130"/>
      <c r="M5" s="1131"/>
      <c r="N5" s="1131"/>
      <c r="O5" s="1131"/>
      <c r="P5" s="3335"/>
      <c r="Q5" s="3336"/>
      <c r="R5" s="3341"/>
      <c r="S5" s="3342"/>
      <c r="T5" s="3341"/>
      <c r="U5" s="3342"/>
      <c r="V5" s="3326"/>
      <c r="W5" s="3326"/>
      <c r="X5" s="1813"/>
      <c r="Y5" s="3341"/>
      <c r="Z5" s="3342"/>
      <c r="AA5" s="3328"/>
      <c r="AB5" s="3328"/>
      <c r="AC5" s="3328"/>
    </row>
    <row r="6" spans="1:29" ht="27.75" customHeight="1" thickBot="1">
      <c r="A6" s="406"/>
      <c r="B6" s="407"/>
      <c r="C6" s="3345" t="s">
        <v>3175</v>
      </c>
      <c r="D6" s="3346"/>
      <c r="E6" s="3352" t="s">
        <v>3176</v>
      </c>
      <c r="F6" s="3353"/>
      <c r="G6" s="3394" t="s">
        <v>3177</v>
      </c>
      <c r="H6" s="3395"/>
      <c r="I6" s="3345" t="s">
        <v>3178</v>
      </c>
      <c r="J6" s="3346"/>
      <c r="K6" s="2595" t="s">
        <v>2542</v>
      </c>
      <c r="L6" s="1130"/>
      <c r="M6" s="1131"/>
      <c r="N6" s="1131"/>
      <c r="O6" s="1131"/>
      <c r="P6" s="3337"/>
      <c r="Q6" s="3338"/>
      <c r="R6" s="3341"/>
      <c r="S6" s="3342"/>
      <c r="T6" s="3343"/>
      <c r="U6" s="3344"/>
      <c r="V6" s="3326"/>
      <c r="W6" s="3326"/>
      <c r="X6" s="1813"/>
      <c r="Y6" s="3343"/>
      <c r="Z6" s="3344"/>
      <c r="AA6" s="3329"/>
      <c r="AB6" s="3329"/>
      <c r="AC6" s="3329"/>
    </row>
    <row r="7" spans="1:29" s="117" customFormat="1" ht="15.75" thickBot="1">
      <c r="A7" s="408" t="s">
        <v>2543</v>
      </c>
      <c r="B7" s="409"/>
      <c r="C7" s="410">
        <f>'数据-取费表'!B2</f>
        <v>43111</v>
      </c>
      <c r="D7" s="411">
        <v>100</v>
      </c>
      <c r="E7" s="412">
        <v>43101</v>
      </c>
      <c r="F7" s="413">
        <f>SUMIF(58:58,YEAR(E7)&amp;"-"&amp;MONTH(E7),59:59)</f>
        <v>100</v>
      </c>
      <c r="G7" s="412">
        <v>43101</v>
      </c>
      <c r="H7" s="411">
        <f>SUMIF(58:58,YEAR(G7)&amp;"-"&amp;MONTH(G7),59:59)</f>
        <v>100</v>
      </c>
      <c r="I7" s="412">
        <v>43101</v>
      </c>
      <c r="J7" s="411">
        <f>SUMIF(58:58,YEAR(I7)&amp;"-"&amp;MONTH(I7),59:59)</f>
        <v>100</v>
      </c>
      <c r="K7" s="2596"/>
      <c r="L7" s="1132"/>
      <c r="M7" s="1133"/>
      <c r="N7" s="1133"/>
      <c r="O7" s="1133"/>
      <c r="P7" s="3349" t="s">
        <v>2544</v>
      </c>
      <c r="Q7" s="3351"/>
      <c r="R7" s="770" t="s">
        <v>23</v>
      </c>
      <c r="S7" s="771">
        <f t="shared" ref="S7:S15" si="0">F7</f>
        <v>100</v>
      </c>
      <c r="T7" s="770" t="s">
        <v>23</v>
      </c>
      <c r="U7" s="771">
        <f t="shared" ref="U7:U15" si="1">H7</f>
        <v>100</v>
      </c>
      <c r="V7" s="770" t="s">
        <v>23</v>
      </c>
      <c r="W7" s="771">
        <f t="shared" ref="W7:W15" si="2">J7</f>
        <v>100</v>
      </c>
      <c r="X7" s="772"/>
      <c r="Y7" s="3349" t="s">
        <v>2544</v>
      </c>
      <c r="Z7" s="3350"/>
      <c r="AA7" s="773">
        <f>D7/F7</f>
        <v>1</v>
      </c>
      <c r="AB7" s="773">
        <f>D7/H7</f>
        <v>1</v>
      </c>
      <c r="AC7" s="773">
        <f>D7/J7</f>
        <v>1</v>
      </c>
    </row>
    <row r="8" spans="1:29" s="117" customFormat="1" ht="15.75" thickBot="1">
      <c r="A8" s="408" t="s">
        <v>2545</v>
      </c>
      <c r="B8" s="409"/>
      <c r="C8" s="414" t="s">
        <v>2546</v>
      </c>
      <c r="D8" s="411">
        <v>100</v>
      </c>
      <c r="E8" s="414" t="s">
        <v>2546</v>
      </c>
      <c r="F8" s="413">
        <f>SUMIF(61:61,E8,62:62)-SUMIF(61:61,C8,62:62)+100</f>
        <v>100</v>
      </c>
      <c r="G8" s="414" t="s">
        <v>2546</v>
      </c>
      <c r="H8" s="411">
        <f>SUMIF(61:61,G8,62:62)-SUMIF(61:61,C8,62:62)+100</f>
        <v>100</v>
      </c>
      <c r="I8" s="414" t="s">
        <v>2546</v>
      </c>
      <c r="J8" s="411">
        <f>SUMIF(61:61,I8,62:62)-SUMIF(61:61,C8,62:62)+100</f>
        <v>100</v>
      </c>
      <c r="K8" s="2596"/>
      <c r="L8" s="1132"/>
      <c r="M8" s="1133"/>
      <c r="N8" s="1133"/>
      <c r="O8" s="1133"/>
      <c r="P8" s="3349" t="s">
        <v>2547</v>
      </c>
      <c r="Q8" s="3350"/>
      <c r="R8" s="770" t="s">
        <v>23</v>
      </c>
      <c r="S8" s="771">
        <f t="shared" si="0"/>
        <v>100</v>
      </c>
      <c r="T8" s="770" t="s">
        <v>23</v>
      </c>
      <c r="U8" s="771">
        <f t="shared" si="1"/>
        <v>100</v>
      </c>
      <c r="V8" s="770" t="s">
        <v>23</v>
      </c>
      <c r="W8" s="771">
        <f t="shared" si="2"/>
        <v>100</v>
      </c>
      <c r="X8" s="772"/>
      <c r="Y8" s="3349" t="s">
        <v>2547</v>
      </c>
      <c r="Z8" s="3350"/>
      <c r="AA8" s="773">
        <f t="shared" ref="AA8:AA19" si="3">D8/F8</f>
        <v>1</v>
      </c>
      <c r="AB8" s="773">
        <f t="shared" ref="AB8:AB19" si="4">D8/H8</f>
        <v>1</v>
      </c>
      <c r="AC8" s="773">
        <f t="shared" ref="AC8:AC19" si="5">D8/J8</f>
        <v>1</v>
      </c>
    </row>
    <row r="9" spans="1:29" s="117" customFormat="1">
      <c r="A9" s="415" t="s">
        <v>2548</v>
      </c>
      <c r="B9" s="71" t="s">
        <v>2549</v>
      </c>
      <c r="C9" s="2980" t="s">
        <v>3179</v>
      </c>
      <c r="D9" s="135">
        <v>100</v>
      </c>
      <c r="E9" s="417" t="s">
        <v>3151</v>
      </c>
      <c r="F9" s="418">
        <f>SUMIF(63:63,E9,64:64)-SUMIF(63:63,C9,64:64)+100</f>
        <v>100</v>
      </c>
      <c r="G9" s="417" t="s">
        <v>3151</v>
      </c>
      <c r="H9" s="135">
        <f>SUMIF(63:63,G9,64:64)-SUMIF(63:63,C9,64:64)+100</f>
        <v>100</v>
      </c>
      <c r="I9" s="417" t="s">
        <v>3151</v>
      </c>
      <c r="J9" s="135">
        <f>SUMIF(63:63,I9,64:64)-SUMIF(63:63,C9,64:64)+100</f>
        <v>100</v>
      </c>
      <c r="K9" s="2596"/>
      <c r="L9" s="1132"/>
      <c r="M9" s="1133"/>
      <c r="N9" s="1133"/>
      <c r="O9" s="1133"/>
      <c r="P9" s="3319" t="s">
        <v>2550</v>
      </c>
      <c r="Q9" s="1795" t="str">
        <f t="shared" ref="Q9:Q15" si="6">B9</f>
        <v>用途</v>
      </c>
      <c r="R9" s="770" t="s">
        <v>17</v>
      </c>
      <c r="S9" s="771">
        <f t="shared" si="0"/>
        <v>100</v>
      </c>
      <c r="T9" s="770" t="s">
        <v>17</v>
      </c>
      <c r="U9" s="771">
        <f t="shared" si="1"/>
        <v>100</v>
      </c>
      <c r="V9" s="770" t="s">
        <v>17</v>
      </c>
      <c r="W9" s="771">
        <f t="shared" si="2"/>
        <v>100</v>
      </c>
      <c r="X9" s="772"/>
      <c r="Y9" s="3151" t="s">
        <v>2551</v>
      </c>
      <c r="Z9" s="55" t="str">
        <f t="shared" ref="Z9:Z15" si="7">Q9</f>
        <v>用途</v>
      </c>
      <c r="AA9" s="773">
        <f t="shared" si="3"/>
        <v>1</v>
      </c>
      <c r="AB9" s="773">
        <f t="shared" si="4"/>
        <v>1</v>
      </c>
      <c r="AC9" s="773">
        <f t="shared" si="5"/>
        <v>1</v>
      </c>
    </row>
    <row r="10" spans="1:29" s="427" customFormat="1" ht="27">
      <c r="A10" s="421"/>
      <c r="B10" s="422" t="s">
        <v>2552</v>
      </c>
      <c r="C10" s="423" t="s">
        <v>3180</v>
      </c>
      <c r="D10" s="136">
        <v>100</v>
      </c>
      <c r="E10" s="423" t="s">
        <v>3180</v>
      </c>
      <c r="F10" s="425">
        <f>SUMIF(65:65,E10,66:66)-SUMIF(65:65,C10,66:66)+100</f>
        <v>100</v>
      </c>
      <c r="G10" s="423" t="s">
        <v>3180</v>
      </c>
      <c r="H10" s="136">
        <f>SUMIF(65:65,G10,66:66)-SUMIF(65:65,C10,66:66)+100</f>
        <v>100</v>
      </c>
      <c r="I10" s="423" t="s">
        <v>3180</v>
      </c>
      <c r="J10" s="136">
        <f>SUMIF(65:65,I10,66:66)-SUMIF(65:65,C10,66:66)+100</f>
        <v>100</v>
      </c>
      <c r="K10" s="426"/>
      <c r="L10" s="1135"/>
      <c r="M10" s="1136"/>
      <c r="N10" s="1136"/>
      <c r="O10" s="1136"/>
      <c r="P10" s="3319"/>
      <c r="Q10" s="1795" t="str">
        <f t="shared" si="6"/>
        <v>土地使用年限（年）</v>
      </c>
      <c r="R10" s="770" t="s">
        <v>17</v>
      </c>
      <c r="S10" s="771">
        <f t="shared" si="0"/>
        <v>100</v>
      </c>
      <c r="T10" s="770" t="s">
        <v>17</v>
      </c>
      <c r="U10" s="771">
        <f t="shared" si="1"/>
        <v>100</v>
      </c>
      <c r="V10" s="770" t="s">
        <v>17</v>
      </c>
      <c r="W10" s="771">
        <f t="shared" si="2"/>
        <v>100</v>
      </c>
      <c r="X10" s="772"/>
      <c r="Y10" s="3151"/>
      <c r="Z10" s="55" t="str">
        <f t="shared" si="7"/>
        <v>土地使用年限（年）</v>
      </c>
      <c r="AA10" s="773">
        <f t="shared" si="3"/>
        <v>1</v>
      </c>
      <c r="AB10" s="773">
        <f t="shared" si="4"/>
        <v>1</v>
      </c>
      <c r="AC10" s="773">
        <f t="shared" si="5"/>
        <v>1</v>
      </c>
    </row>
    <row r="11" spans="1:29" ht="15.75" thickBot="1">
      <c r="A11" s="428"/>
      <c r="B11" s="422" t="s">
        <v>2553</v>
      </c>
      <c r="C11" s="429">
        <f>规证整理!O6</f>
        <v>3.29</v>
      </c>
      <c r="D11" s="136">
        <v>100</v>
      </c>
      <c r="E11" s="430">
        <v>0.72</v>
      </c>
      <c r="F11" s="425">
        <f>LOOKUP(E11,68:68,69:69)-LOOKUP(C11,68:68,69:69)+100</f>
        <v>103</v>
      </c>
      <c r="G11" s="429">
        <v>1.3</v>
      </c>
      <c r="H11" s="136">
        <f>LOOKUP(G11,68:68,69:69)-LOOKUP(C11,68:68,69:69)+100</f>
        <v>102</v>
      </c>
      <c r="I11" s="429">
        <v>0.3</v>
      </c>
      <c r="J11" s="136">
        <f>LOOKUP(I11,68:68,69:69)-LOOKUP(C11,68:68,69:69)+100</f>
        <v>103</v>
      </c>
      <c r="K11" s="426">
        <v>1</v>
      </c>
      <c r="L11" s="1138"/>
      <c r="M11" s="1131"/>
      <c r="N11" s="1131"/>
      <c r="O11" s="1131"/>
      <c r="P11" s="3319"/>
      <c r="Q11" s="1795" t="str">
        <f t="shared" si="6"/>
        <v>容积率</v>
      </c>
      <c r="R11" s="770" t="s">
        <v>21</v>
      </c>
      <c r="S11" s="771">
        <f t="shared" si="0"/>
        <v>103</v>
      </c>
      <c r="T11" s="770" t="s">
        <v>21</v>
      </c>
      <c r="U11" s="771">
        <f t="shared" si="1"/>
        <v>102</v>
      </c>
      <c r="V11" s="770" t="s">
        <v>21</v>
      </c>
      <c r="W11" s="771">
        <f t="shared" si="2"/>
        <v>103</v>
      </c>
      <c r="X11" s="772"/>
      <c r="Y11" s="3151"/>
      <c r="Z11" s="55" t="str">
        <f t="shared" si="7"/>
        <v>容积率</v>
      </c>
      <c r="AA11" s="773">
        <f t="shared" si="3"/>
        <v>0.970873786407767</v>
      </c>
      <c r="AB11" s="773">
        <f t="shared" si="4"/>
        <v>0.98039215686274506</v>
      </c>
      <c r="AC11" s="773">
        <f t="shared" si="5"/>
        <v>0.970873786407767</v>
      </c>
    </row>
    <row r="12" spans="1:29" s="117" customFormat="1" ht="15" hidden="1">
      <c r="A12" s="431"/>
      <c r="B12" s="2597">
        <v>111</v>
      </c>
      <c r="C12" s="432"/>
      <c r="D12" s="433">
        <v>100</v>
      </c>
      <c r="E12" s="432"/>
      <c r="F12" s="425">
        <f>SUMIF(70:70,E12,71:71)-SUMIF(70:70,C12,71:71)+100</f>
        <v>100</v>
      </c>
      <c r="G12" s="432"/>
      <c r="H12" s="136">
        <f>SUMIF(70:70,G12,71:71)-SUMIF(70:70,C12,71:71)+100</f>
        <v>100</v>
      </c>
      <c r="I12" s="432"/>
      <c r="J12" s="136">
        <f>SUMIF(70:70,I12,71:71)-SUMIF(70:70,C12,71:71)+100</f>
        <v>100</v>
      </c>
      <c r="K12" s="2598"/>
      <c r="L12" s="1132"/>
      <c r="M12" s="1133"/>
      <c r="N12" s="1133"/>
      <c r="O12" s="1133"/>
      <c r="P12" s="3319"/>
      <c r="Q12" s="1795">
        <f t="shared" si="6"/>
        <v>111</v>
      </c>
      <c r="R12" s="770" t="s">
        <v>21</v>
      </c>
      <c r="S12" s="771">
        <f t="shared" si="0"/>
        <v>100</v>
      </c>
      <c r="T12" s="770" t="s">
        <v>21</v>
      </c>
      <c r="U12" s="771">
        <f t="shared" si="1"/>
        <v>100</v>
      </c>
      <c r="V12" s="770" t="s">
        <v>21</v>
      </c>
      <c r="W12" s="771">
        <f t="shared" si="2"/>
        <v>100</v>
      </c>
      <c r="X12" s="772"/>
      <c r="Y12" s="3151"/>
      <c r="Z12" s="55">
        <f t="shared" si="7"/>
        <v>111</v>
      </c>
      <c r="AA12" s="773">
        <f>D12/F12</f>
        <v>1</v>
      </c>
      <c r="AB12" s="773">
        <f>D12/H12</f>
        <v>1</v>
      </c>
      <c r="AC12" s="773">
        <f>D12/J12</f>
        <v>1</v>
      </c>
    </row>
    <row r="13" spans="1:29" ht="15" hidden="1">
      <c r="A13" s="428"/>
      <c r="B13" s="2597">
        <v>111</v>
      </c>
      <c r="C13" s="434"/>
      <c r="D13" s="435">
        <v>100</v>
      </c>
      <c r="E13" s="434"/>
      <c r="F13" s="425">
        <f>SUMIF(72:72,E13,73:73)-SUMIF(72:72,C13,73:73)+100</f>
        <v>100</v>
      </c>
      <c r="G13" s="434"/>
      <c r="H13" s="435">
        <f>SUMIF(72:72,G13,73:73)-SUMIF(72:72,C13,73:73)+100</f>
        <v>100</v>
      </c>
      <c r="I13" s="434"/>
      <c r="J13" s="435">
        <f>SUMIF(72:72,I13,73:73)-SUMIF(72:72,C13,73:73)+100</f>
        <v>100</v>
      </c>
      <c r="K13" s="2598"/>
      <c r="L13" s="1140"/>
      <c r="M13" s="1131"/>
      <c r="N13" s="1131"/>
      <c r="O13" s="1131"/>
      <c r="P13" s="3319"/>
      <c r="Q13" s="1795">
        <f t="shared" si="6"/>
        <v>111</v>
      </c>
      <c r="R13" s="770" t="s">
        <v>21</v>
      </c>
      <c r="S13" s="771">
        <f t="shared" si="0"/>
        <v>100</v>
      </c>
      <c r="T13" s="770" t="s">
        <v>21</v>
      </c>
      <c r="U13" s="771">
        <f t="shared" si="1"/>
        <v>100</v>
      </c>
      <c r="V13" s="770" t="s">
        <v>21</v>
      </c>
      <c r="W13" s="771">
        <f t="shared" si="2"/>
        <v>100</v>
      </c>
      <c r="X13" s="772"/>
      <c r="Y13" s="3151"/>
      <c r="Z13" s="55">
        <f t="shared" si="7"/>
        <v>111</v>
      </c>
      <c r="AA13" s="773">
        <f t="shared" si="3"/>
        <v>1</v>
      </c>
      <c r="AB13" s="773">
        <f t="shared" si="4"/>
        <v>1</v>
      </c>
      <c r="AC13" s="773">
        <f t="shared" si="5"/>
        <v>1</v>
      </c>
    </row>
    <row r="14" spans="1:29" ht="15.75" hidden="1" thickBot="1">
      <c r="A14" s="436"/>
      <c r="B14" s="2599">
        <v>111</v>
      </c>
      <c r="C14" s="437"/>
      <c r="D14" s="438">
        <v>100</v>
      </c>
      <c r="E14" s="437"/>
      <c r="F14" s="439">
        <f>SUMIF(74:74,E14,75:75)-SUMIF(74:74,C14,75:75)+100</f>
        <v>100</v>
      </c>
      <c r="G14" s="437"/>
      <c r="H14" s="438">
        <f>SUMIF(74:74,G14,75:75)-SUMIF(74:74,C14,75:75)+100</f>
        <v>100</v>
      </c>
      <c r="I14" s="437"/>
      <c r="J14" s="438">
        <f>SUMIF(74:74,I14,75:75)-SUMIF(74:74,C14,75:75)+100</f>
        <v>100</v>
      </c>
      <c r="K14" s="2598"/>
      <c r="L14" s="1140"/>
      <c r="M14" s="1131"/>
      <c r="N14" s="1131"/>
      <c r="O14" s="1131"/>
      <c r="P14" s="3319"/>
      <c r="Q14" s="1795">
        <f t="shared" si="6"/>
        <v>111</v>
      </c>
      <c r="R14" s="770" t="s">
        <v>21</v>
      </c>
      <c r="S14" s="771">
        <f t="shared" si="0"/>
        <v>100</v>
      </c>
      <c r="T14" s="770" t="s">
        <v>21</v>
      </c>
      <c r="U14" s="771">
        <f t="shared" si="1"/>
        <v>100</v>
      </c>
      <c r="V14" s="770" t="s">
        <v>21</v>
      </c>
      <c r="W14" s="771">
        <f t="shared" si="2"/>
        <v>100</v>
      </c>
      <c r="X14" s="772"/>
      <c r="Y14" s="3151"/>
      <c r="Z14" s="55">
        <f t="shared" si="7"/>
        <v>111</v>
      </c>
      <c r="AA14" s="773">
        <f t="shared" si="3"/>
        <v>1</v>
      </c>
      <c r="AB14" s="773">
        <f t="shared" si="4"/>
        <v>1</v>
      </c>
      <c r="AC14" s="773">
        <f t="shared" si="5"/>
        <v>1</v>
      </c>
    </row>
    <row r="15" spans="1:29" ht="156.75">
      <c r="A15" s="440" t="s">
        <v>2554</v>
      </c>
      <c r="B15" s="69" t="s">
        <v>2083</v>
      </c>
      <c r="C15" s="2600" t="str">
        <f>估价对象房地状况!C3</f>
        <v>估价对象周边居住用地比例大、居住小区规模大且社区发展完善程度较好，如北京晨浩花园、海德堡小区、柏林在线等住宅小区，综合评价居住社区成熟度好。</v>
      </c>
      <c r="D15" s="441">
        <v>100</v>
      </c>
      <c r="E15" s="2982" t="s">
        <v>3184</v>
      </c>
      <c r="F15" s="441">
        <f>SUMIF(76:76,E16,77:77)-SUMIF(76:76,C16,77:77)+100</f>
        <v>97</v>
      </c>
      <c r="G15" s="2983" t="s">
        <v>3185</v>
      </c>
      <c r="H15" s="441">
        <f>SUMIF(76:76,G16,77:77)-SUMIF(76:76,C16,77:77)+100</f>
        <v>100</v>
      </c>
      <c r="I15" s="2983" t="s">
        <v>3186</v>
      </c>
      <c r="J15" s="441">
        <f>SUMIF(76:76,I16,77:77)-SUMIF(76:76,C16,77:77)+100</f>
        <v>100</v>
      </c>
      <c r="K15" s="445">
        <v>3</v>
      </c>
      <c r="L15" s="1140"/>
      <c r="M15" s="1131"/>
      <c r="N15" s="1131"/>
      <c r="O15" s="1131"/>
      <c r="P15" s="3392" t="s">
        <v>2555</v>
      </c>
      <c r="Q15" s="1810" t="str">
        <f t="shared" si="6"/>
        <v>居住社区成熟度</v>
      </c>
      <c r="R15" s="774" t="s">
        <v>21</v>
      </c>
      <c r="S15" s="775">
        <f t="shared" si="0"/>
        <v>97</v>
      </c>
      <c r="T15" s="774" t="s">
        <v>21</v>
      </c>
      <c r="U15" s="775">
        <f t="shared" si="1"/>
        <v>100</v>
      </c>
      <c r="V15" s="774" t="s">
        <v>21</v>
      </c>
      <c r="W15" s="775">
        <f t="shared" si="2"/>
        <v>100</v>
      </c>
      <c r="X15" s="1813"/>
      <c r="Y15" s="3322" t="s">
        <v>2555</v>
      </c>
      <c r="Z15" s="1814" t="str">
        <f t="shared" si="7"/>
        <v>居住社区成熟度</v>
      </c>
      <c r="AA15" s="1811">
        <f t="shared" si="3"/>
        <v>1.0309278350515463</v>
      </c>
      <c r="AB15" s="1811">
        <f t="shared" si="4"/>
        <v>1</v>
      </c>
      <c r="AC15" s="1811">
        <f t="shared" si="5"/>
        <v>1</v>
      </c>
    </row>
    <row r="16" spans="1:29" ht="15">
      <c r="A16" s="428"/>
      <c r="B16" s="446"/>
      <c r="C16" s="447" t="s">
        <v>3190</v>
      </c>
      <c r="D16" s="448"/>
      <c r="E16" s="2601" t="s">
        <v>3189</v>
      </c>
      <c r="F16" s="448"/>
      <c r="G16" s="2602" t="s">
        <v>3190</v>
      </c>
      <c r="H16" s="450"/>
      <c r="I16" s="2602" t="s">
        <v>3190</v>
      </c>
      <c r="J16" s="448"/>
      <c r="K16" s="2603"/>
      <c r="L16" s="1140"/>
      <c r="M16" s="1131"/>
      <c r="N16" s="1131"/>
      <c r="O16" s="1131"/>
      <c r="P16" s="3393"/>
      <c r="Q16" s="1810"/>
      <c r="R16" s="774"/>
      <c r="S16" s="775"/>
      <c r="T16" s="774"/>
      <c r="U16" s="775"/>
      <c r="V16" s="774"/>
      <c r="W16" s="775"/>
      <c r="X16" s="1813"/>
      <c r="Y16" s="3323"/>
      <c r="Z16" s="1814"/>
      <c r="AA16" s="1811">
        <v>1</v>
      </c>
      <c r="AB16" s="1811">
        <v>1</v>
      </c>
      <c r="AC16" s="1811">
        <v>1</v>
      </c>
    </row>
    <row r="17" spans="1:29" ht="128.25">
      <c r="A17" s="428"/>
      <c r="B17" s="451" t="s">
        <v>2094</v>
      </c>
      <c r="C17" s="2604" t="str">
        <f>估价对象房地状况!C6</f>
        <v>估价对象多面临街，周边道路路网较为密集，公共交通通达情况较好，有417、533路等、停车便捷程度较好，综合评价交通便捷度较好。</v>
      </c>
      <c r="D17" s="450">
        <v>100</v>
      </c>
      <c r="E17" s="454" t="s">
        <v>3196</v>
      </c>
      <c r="F17" s="450">
        <f>SUMIF(78:78,E18,79:79)-SUMIF(78:78,C18,79:79)+100</f>
        <v>100</v>
      </c>
      <c r="G17" s="454" t="s">
        <v>3198</v>
      </c>
      <c r="H17" s="455">
        <f>SUMIF(78:78,G18,79:79)-SUMIF(78:78,C18,79:79)+100</f>
        <v>100</v>
      </c>
      <c r="I17" s="454" t="s">
        <v>3199</v>
      </c>
      <c r="J17" s="455">
        <f>SUMIF(78:78,I18,79:79)-SUMIF(78:78,C18,79:79)+100</f>
        <v>100</v>
      </c>
      <c r="K17" s="445"/>
      <c r="L17" s="1140"/>
      <c r="M17" s="1131"/>
      <c r="N17" s="1131"/>
      <c r="O17" s="1131"/>
      <c r="P17" s="3393"/>
      <c r="Q17" s="1810" t="str">
        <f>B17</f>
        <v>交通便捷度</v>
      </c>
      <c r="R17" s="774" t="s">
        <v>21</v>
      </c>
      <c r="S17" s="775">
        <f>F17</f>
        <v>100</v>
      </c>
      <c r="T17" s="774" t="s">
        <v>21</v>
      </c>
      <c r="U17" s="775">
        <f>H17</f>
        <v>100</v>
      </c>
      <c r="V17" s="774" t="s">
        <v>21</v>
      </c>
      <c r="W17" s="775">
        <f>J17</f>
        <v>100</v>
      </c>
      <c r="X17" s="1813"/>
      <c r="Y17" s="3323"/>
      <c r="Z17" s="1814" t="str">
        <f>Q17</f>
        <v>交通便捷度</v>
      </c>
      <c r="AA17" s="1811">
        <f t="shared" si="3"/>
        <v>1</v>
      </c>
      <c r="AB17" s="1811">
        <f t="shared" si="4"/>
        <v>1</v>
      </c>
      <c r="AC17" s="1811">
        <f t="shared" si="5"/>
        <v>1</v>
      </c>
    </row>
    <row r="18" spans="1:29" ht="15">
      <c r="A18" s="428"/>
      <c r="B18" s="456"/>
      <c r="C18" s="2605" t="s">
        <v>3189</v>
      </c>
      <c r="D18" s="450"/>
      <c r="E18" s="447" t="s">
        <v>3189</v>
      </c>
      <c r="F18" s="450"/>
      <c r="G18" s="447" t="s">
        <v>3189</v>
      </c>
      <c r="H18" s="448"/>
      <c r="I18" s="447" t="s">
        <v>3189</v>
      </c>
      <c r="J18" s="448"/>
      <c r="K18" s="2603"/>
      <c r="L18" s="1140"/>
      <c r="M18" s="1131"/>
      <c r="N18" s="1131"/>
      <c r="O18" s="1131"/>
      <c r="P18" s="3393"/>
      <c r="Q18" s="1810"/>
      <c r="R18" s="774"/>
      <c r="S18" s="775"/>
      <c r="T18" s="774"/>
      <c r="U18" s="775"/>
      <c r="V18" s="774"/>
      <c r="W18" s="775"/>
      <c r="X18" s="1813"/>
      <c r="Y18" s="3323"/>
      <c r="Z18" s="1814"/>
      <c r="AA18" s="1811">
        <v>1</v>
      </c>
      <c r="AB18" s="1811">
        <v>1</v>
      </c>
      <c r="AC18" s="1811">
        <v>1</v>
      </c>
    </row>
    <row r="19" spans="1:29" ht="213.75">
      <c r="A19" s="428"/>
      <c r="B19" s="451" t="s">
        <v>2092</v>
      </c>
      <c r="C19" s="2604" t="str">
        <f>估价对象房地状况!C7</f>
        <v>估价对象所在区域2公里范围内有：银行（中国银行、北京农村商业银行），购物（物联隆超市、超市发超市）、医院（北七家社区卫生服务中心），学校（北京市晨星学校、伊顿双语幼儿园），餐饮等，公共配套设施齐备情况较好。</v>
      </c>
      <c r="D19" s="455">
        <v>100</v>
      </c>
      <c r="E19" s="459" t="s">
        <v>3197</v>
      </c>
      <c r="F19" s="455">
        <f>SUMIF(80:80,E20,81:81)-SUMIF(80:80,C20,81:81)+100</f>
        <v>98</v>
      </c>
      <c r="G19" s="459" t="s">
        <v>3201</v>
      </c>
      <c r="H19" s="450">
        <f>SUMIF(80:80,G20,81:81)-SUMIF(80:80,C20,81:81)+100</f>
        <v>100</v>
      </c>
      <c r="I19" s="457" t="s">
        <v>3200</v>
      </c>
      <c r="J19" s="450">
        <f>SUMIF(80:80,I20,81:81)-SUMIF(80:80,C20,81:81)+100</f>
        <v>100</v>
      </c>
      <c r="K19" s="445">
        <v>2</v>
      </c>
      <c r="L19" s="1140"/>
      <c r="M19" s="1131"/>
      <c r="N19" s="1131"/>
      <c r="O19" s="1131"/>
      <c r="P19" s="3393"/>
      <c r="Q19" s="1810" t="str">
        <f>B19</f>
        <v>公共配套设施</v>
      </c>
      <c r="R19" s="774" t="s">
        <v>21</v>
      </c>
      <c r="S19" s="775">
        <f>F19</f>
        <v>98</v>
      </c>
      <c r="T19" s="774" t="s">
        <v>21</v>
      </c>
      <c r="U19" s="775">
        <f>H19</f>
        <v>100</v>
      </c>
      <c r="V19" s="774" t="s">
        <v>21</v>
      </c>
      <c r="W19" s="775">
        <f>J19</f>
        <v>100</v>
      </c>
      <c r="X19" s="1813"/>
      <c r="Y19" s="3323"/>
      <c r="Z19" s="1814" t="str">
        <f>Q19</f>
        <v>公共配套设施</v>
      </c>
      <c r="AA19" s="1811">
        <f t="shared" si="3"/>
        <v>1.0204081632653061</v>
      </c>
      <c r="AB19" s="1811">
        <f t="shared" si="4"/>
        <v>1</v>
      </c>
      <c r="AC19" s="1811">
        <f t="shared" si="5"/>
        <v>1</v>
      </c>
    </row>
    <row r="20" spans="1:29" ht="15">
      <c r="A20" s="428"/>
      <c r="B20" s="456"/>
      <c r="C20" s="447" t="s">
        <v>3189</v>
      </c>
      <c r="D20" s="448"/>
      <c r="E20" s="447" t="s">
        <v>3192</v>
      </c>
      <c r="F20" s="448"/>
      <c r="G20" s="447" t="s">
        <v>3189</v>
      </c>
      <c r="H20" s="448"/>
      <c r="I20" s="447" t="s">
        <v>3189</v>
      </c>
      <c r="J20" s="448"/>
      <c r="K20" s="2603"/>
      <c r="L20" s="1140"/>
      <c r="M20" s="1131"/>
      <c r="N20" s="1131"/>
      <c r="O20" s="1131"/>
      <c r="P20" s="3393"/>
      <c r="Q20" s="1810"/>
      <c r="R20" s="774"/>
      <c r="S20" s="775"/>
      <c r="T20" s="774"/>
      <c r="U20" s="775"/>
      <c r="V20" s="774"/>
      <c r="W20" s="775"/>
      <c r="X20" s="1813"/>
      <c r="Y20" s="3323"/>
      <c r="Z20" s="1814"/>
      <c r="AA20" s="1811">
        <v>1</v>
      </c>
      <c r="AB20" s="1811">
        <v>1</v>
      </c>
      <c r="AC20" s="1811">
        <v>1</v>
      </c>
    </row>
    <row r="21" spans="1:29" ht="42.75">
      <c r="A21" s="428"/>
      <c r="B21" s="1384" t="s">
        <v>2095</v>
      </c>
      <c r="C21" s="2604" t="str">
        <f>估价对象房地状况!C8</f>
        <v>估价对象所在区域基础设施水平达到“七通”。</v>
      </c>
      <c r="D21" s="450">
        <v>100</v>
      </c>
      <c r="E21" s="459" t="s">
        <v>3194</v>
      </c>
      <c r="F21" s="455">
        <f>SUMIF(82:82,E22,83:83)-SUMIF(82:82,C22,83:83)+100</f>
        <v>100</v>
      </c>
      <c r="G21" s="459" t="s">
        <v>3195</v>
      </c>
      <c r="H21" s="450">
        <f>SUMIF(82:82,G22,83:83)-SUMIF(82:82,C22,83:83)+100</f>
        <v>100</v>
      </c>
      <c r="I21" s="459" t="s">
        <v>3194</v>
      </c>
      <c r="J21" s="450">
        <f>SUMIF(82:82,I22,83:83)-SUMIF(82:82,C22,83:83)+100</f>
        <v>100</v>
      </c>
      <c r="K21" s="445"/>
      <c r="L21" s="1140"/>
      <c r="M21" s="1131"/>
      <c r="N21" s="1131"/>
      <c r="O21" s="1131"/>
      <c r="P21" s="3393"/>
      <c r="Q21" s="1810" t="str">
        <f>B21</f>
        <v>基础设施水平</v>
      </c>
      <c r="R21" s="774" t="s">
        <v>17</v>
      </c>
      <c r="S21" s="775">
        <f>F21</f>
        <v>100</v>
      </c>
      <c r="T21" s="774" t="s">
        <v>17</v>
      </c>
      <c r="U21" s="775">
        <f>H21</f>
        <v>100</v>
      </c>
      <c r="V21" s="774" t="s">
        <v>17</v>
      </c>
      <c r="W21" s="775">
        <f>J21</f>
        <v>100</v>
      </c>
      <c r="X21" s="1813"/>
      <c r="Y21" s="3323"/>
      <c r="Z21" s="1814" t="str">
        <f>Q21</f>
        <v>基础设施水平</v>
      </c>
      <c r="AA21" s="1811">
        <f t="shared" ref="AA21" si="8">D21/F21</f>
        <v>1</v>
      </c>
      <c r="AB21" s="1811">
        <f t="shared" ref="AB21" si="9">D21/H21</f>
        <v>1</v>
      </c>
      <c r="AC21" s="1811">
        <f t="shared" ref="AC21" si="10">D21/J21</f>
        <v>1</v>
      </c>
    </row>
    <row r="22" spans="1:29" ht="15">
      <c r="A22" s="428"/>
      <c r="B22" s="1384"/>
      <c r="C22" s="2605" t="s">
        <v>3191</v>
      </c>
      <c r="D22" s="448"/>
      <c r="E22" s="2605" t="s">
        <v>3191</v>
      </c>
      <c r="F22" s="448"/>
      <c r="G22" s="2605" t="s">
        <v>3191</v>
      </c>
      <c r="H22" s="448"/>
      <c r="I22" s="2605" t="s">
        <v>3191</v>
      </c>
      <c r="J22" s="448"/>
      <c r="K22" s="2609"/>
      <c r="L22" s="1140"/>
      <c r="M22" s="1131"/>
      <c r="N22" s="1131"/>
      <c r="O22" s="1131"/>
      <c r="P22" s="3393"/>
      <c r="Q22" s="1810"/>
      <c r="R22" s="774"/>
      <c r="S22" s="775"/>
      <c r="T22" s="774"/>
      <c r="U22" s="775"/>
      <c r="V22" s="774"/>
      <c r="W22" s="775"/>
      <c r="X22" s="1813"/>
      <c r="Y22" s="3323"/>
      <c r="Z22" s="1814"/>
      <c r="AA22" s="1811">
        <v>1</v>
      </c>
      <c r="AB22" s="1811">
        <v>1</v>
      </c>
      <c r="AC22" s="1811">
        <v>1</v>
      </c>
    </row>
    <row r="23" spans="1:29" ht="108">
      <c r="A23" s="428"/>
      <c r="B23" s="451" t="s">
        <v>2099</v>
      </c>
      <c r="C23" s="2604" t="str">
        <f>估价对象房地状况!C9</f>
        <v>区域自然环境：未来科技城滨河公园；人文环境：无展览馆、博物馆等；综合评价环境状况一般。</v>
      </c>
      <c r="D23" s="450">
        <v>100</v>
      </c>
      <c r="E23" s="2989" t="s">
        <v>3193</v>
      </c>
      <c r="F23" s="450">
        <f>SUMIF(84:84,E24,85:85)-SUMIF(84:84,C24,85:85)+100</f>
        <v>100</v>
      </c>
      <c r="G23" s="2989" t="s">
        <v>3203</v>
      </c>
      <c r="H23" s="450">
        <f>SUMIF(84:84,G24,85:85)-SUMIF(84:84,C24,85:85)+100</f>
        <v>101</v>
      </c>
      <c r="I23" s="2989" t="s">
        <v>3202</v>
      </c>
      <c r="J23" s="450">
        <f>SUMIF(84:84,I24,85:85)-SUMIF(84:84,C24,85:85)+100</f>
        <v>100</v>
      </c>
      <c r="K23" s="445">
        <v>1</v>
      </c>
      <c r="L23" s="1140"/>
      <c r="M23" s="1131"/>
      <c r="N23" s="1131"/>
      <c r="O23" s="1131"/>
      <c r="P23" s="3393"/>
      <c r="Q23" s="1810" t="str">
        <f>B23</f>
        <v>自然及人文环境</v>
      </c>
      <c r="R23" s="774" t="s">
        <v>21</v>
      </c>
      <c r="S23" s="775">
        <f>F23</f>
        <v>100</v>
      </c>
      <c r="T23" s="774" t="s">
        <v>21</v>
      </c>
      <c r="U23" s="775">
        <f>H23</f>
        <v>101</v>
      </c>
      <c r="V23" s="774" t="s">
        <v>21</v>
      </c>
      <c r="W23" s="775">
        <f>J23</f>
        <v>100</v>
      </c>
      <c r="X23" s="1813"/>
      <c r="Y23" s="3323"/>
      <c r="Z23" s="1814" t="str">
        <f>Q23</f>
        <v>自然及人文环境</v>
      </c>
      <c r="AA23" s="1811">
        <f>D23/F23</f>
        <v>1</v>
      </c>
      <c r="AB23" s="1811">
        <f>D23/H23</f>
        <v>0.99009900990099009</v>
      </c>
      <c r="AC23" s="1811">
        <f>D23/J23</f>
        <v>1</v>
      </c>
    </row>
    <row r="24" spans="1:29" ht="15">
      <c r="A24" s="428"/>
      <c r="B24" s="456"/>
      <c r="C24" s="447" t="s">
        <v>3192</v>
      </c>
      <c r="D24" s="448"/>
      <c r="E24" s="2601" t="s">
        <v>3192</v>
      </c>
      <c r="F24" s="448"/>
      <c r="G24" s="2602" t="s">
        <v>3189</v>
      </c>
      <c r="H24" s="448"/>
      <c r="I24" s="2602" t="s">
        <v>3192</v>
      </c>
      <c r="J24" s="448"/>
      <c r="K24" s="2603"/>
      <c r="L24" s="1140"/>
      <c r="M24" s="1131"/>
      <c r="N24" s="1131"/>
      <c r="O24" s="1131"/>
      <c r="P24" s="3393"/>
      <c r="Q24" s="1810"/>
      <c r="R24" s="774"/>
      <c r="S24" s="775"/>
      <c r="T24" s="774"/>
      <c r="U24" s="775"/>
      <c r="V24" s="774"/>
      <c r="W24" s="775"/>
      <c r="X24" s="1813"/>
      <c r="Y24" s="3323"/>
      <c r="Z24" s="1814"/>
      <c r="AA24" s="1811">
        <v>1</v>
      </c>
      <c r="AB24" s="1811">
        <v>1</v>
      </c>
      <c r="AC24" s="1811">
        <v>1</v>
      </c>
    </row>
    <row r="25" spans="1:29" ht="15">
      <c r="A25" s="428"/>
      <c r="B25" s="422" t="s">
        <v>2556</v>
      </c>
      <c r="C25" s="460"/>
      <c r="D25" s="435">
        <v>100</v>
      </c>
      <c r="E25" s="2610"/>
      <c r="F25" s="435">
        <f>SUMIF(86:86,E25,87:87)-SUMIF(86:86,C25,87:87)+100</f>
        <v>100</v>
      </c>
      <c r="G25" s="2611"/>
      <c r="H25" s="435">
        <f>SUMIF(86:86,G25,87:87)-SUMIF(86:86,C25,87:87)+100</f>
        <v>100</v>
      </c>
      <c r="I25" s="2611"/>
      <c r="J25" s="435">
        <f>SUMIF(86:86,I25,87:87)-SUMIF(86:86,C25,87:87)+100</f>
        <v>100</v>
      </c>
      <c r="K25" s="426"/>
      <c r="L25" s="1140"/>
      <c r="M25" s="1131"/>
      <c r="N25" s="1131"/>
      <c r="O25" s="1131"/>
      <c r="P25" s="3393"/>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323"/>
      <c r="Z25" s="1814" t="str">
        <f>Q25</f>
        <v>楼层-1</v>
      </c>
      <c r="AA25" s="1811">
        <f t="shared" ref="AA25:AA46" si="15">D25/F25</f>
        <v>1</v>
      </c>
      <c r="AB25" s="1811">
        <f t="shared" ref="AB25:AB46" si="16">D25/H25</f>
        <v>1</v>
      </c>
      <c r="AC25" s="1811">
        <f t="shared" ref="AC25:AC46" si="17">D25/J25</f>
        <v>1</v>
      </c>
    </row>
    <row r="26" spans="1:29" ht="15.75" thickBot="1">
      <c r="A26" s="428"/>
      <c r="B26" s="422" t="s">
        <v>2557</v>
      </c>
      <c r="C26" s="460"/>
      <c r="D26" s="435">
        <v>100</v>
      </c>
      <c r="E26" s="2610"/>
      <c r="F26" s="435">
        <f>SUMIF(88:88,E26,89:89)-SUMIF(88:88,C26,89:89)+100</f>
        <v>100</v>
      </c>
      <c r="G26" s="2611"/>
      <c r="H26" s="435">
        <f>SUMIF(88:88,G26,89:89)-SUMIF(88:88,C26,89:89)+100</f>
        <v>100</v>
      </c>
      <c r="I26" s="2611"/>
      <c r="J26" s="435">
        <f>SUMIF(88:88,I26,89:89)-SUMIF(88:88,C26,89:89)+100</f>
        <v>100</v>
      </c>
      <c r="K26" s="426"/>
      <c r="L26" s="1140"/>
      <c r="M26" s="1131"/>
      <c r="N26" s="1131"/>
      <c r="O26" s="1131"/>
      <c r="P26" s="3393"/>
      <c r="Q26" s="1810" t="str">
        <f t="shared" si="11"/>
        <v>朝向</v>
      </c>
      <c r="R26" s="774" t="s">
        <v>21</v>
      </c>
      <c r="S26" s="775">
        <f t="shared" si="12"/>
        <v>100</v>
      </c>
      <c r="T26" s="774" t="s">
        <v>21</v>
      </c>
      <c r="U26" s="775">
        <f t="shared" si="13"/>
        <v>100</v>
      </c>
      <c r="V26" s="774" t="s">
        <v>21</v>
      </c>
      <c r="W26" s="775">
        <f t="shared" si="14"/>
        <v>100</v>
      </c>
      <c r="X26" s="1813"/>
      <c r="Y26" s="3323"/>
      <c r="Z26" s="1814" t="str">
        <f>Q26</f>
        <v>朝向</v>
      </c>
      <c r="AA26" s="1811">
        <f t="shared" si="15"/>
        <v>1</v>
      </c>
      <c r="AB26" s="1811">
        <f t="shared" si="16"/>
        <v>1</v>
      </c>
      <c r="AC26" s="1811">
        <f t="shared" si="17"/>
        <v>1</v>
      </c>
    </row>
    <row r="27" spans="1:29" s="117" customFormat="1" ht="15" hidden="1">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598"/>
      <c r="L27" s="1132"/>
      <c r="M27" s="1133"/>
      <c r="N27" s="1133"/>
      <c r="O27" s="1133"/>
      <c r="P27" s="3393"/>
      <c r="Q27" s="1795">
        <f t="shared" si="11"/>
        <v>111</v>
      </c>
      <c r="R27" s="770" t="s">
        <v>21</v>
      </c>
      <c r="S27" s="771">
        <f t="shared" si="12"/>
        <v>100</v>
      </c>
      <c r="T27" s="770" t="s">
        <v>21</v>
      </c>
      <c r="U27" s="771">
        <f t="shared" si="13"/>
        <v>100</v>
      </c>
      <c r="V27" s="770" t="s">
        <v>21</v>
      </c>
      <c r="W27" s="771">
        <f t="shared" si="14"/>
        <v>100</v>
      </c>
      <c r="X27" s="772"/>
      <c r="Y27" s="3323"/>
      <c r="Z27" s="55">
        <f>Q27</f>
        <v>111</v>
      </c>
      <c r="AA27" s="1811">
        <f t="shared" si="15"/>
        <v>1</v>
      </c>
      <c r="AB27" s="1811">
        <f t="shared" si="16"/>
        <v>1</v>
      </c>
      <c r="AC27" s="1811">
        <f t="shared" si="17"/>
        <v>1</v>
      </c>
    </row>
    <row r="28" spans="1:29" ht="15" hidden="1">
      <c r="A28" s="428"/>
      <c r="B28" s="1386">
        <v>111</v>
      </c>
      <c r="C28" s="434"/>
      <c r="D28" s="435">
        <v>100</v>
      </c>
      <c r="E28" s="434"/>
      <c r="F28" s="435">
        <f>SUMIF(92:92,E28,93:93)-SUMIF(92:92,C28,93:93)+100</f>
        <v>100</v>
      </c>
      <c r="G28" s="2612"/>
      <c r="H28" s="435">
        <f>SUMIF(92:92,G28,93:93)-SUMIF(92:92,C28,93:93)+100</f>
        <v>100</v>
      </c>
      <c r="I28" s="434"/>
      <c r="J28" s="435">
        <f>SUMIF(92:92,I28,93:93)-SUMIF(92:92,C28,93:93)+100</f>
        <v>100</v>
      </c>
      <c r="K28" s="2598"/>
      <c r="L28" s="1140"/>
      <c r="M28" s="1131"/>
      <c r="N28" s="1131"/>
      <c r="O28" s="1131"/>
      <c r="P28" s="3393"/>
      <c r="Q28" s="1810">
        <f t="shared" si="11"/>
        <v>111</v>
      </c>
      <c r="R28" s="774" t="s">
        <v>21</v>
      </c>
      <c r="S28" s="775">
        <f t="shared" si="12"/>
        <v>100</v>
      </c>
      <c r="T28" s="774" t="s">
        <v>21</v>
      </c>
      <c r="U28" s="775">
        <f t="shared" si="13"/>
        <v>100</v>
      </c>
      <c r="V28" s="774" t="s">
        <v>21</v>
      </c>
      <c r="W28" s="775">
        <f t="shared" si="14"/>
        <v>100</v>
      </c>
      <c r="X28" s="1813"/>
      <c r="Y28" s="3323"/>
      <c r="Z28" s="1814">
        <f t="shared" ref="Z28:Z46" si="18">Q28</f>
        <v>111</v>
      </c>
      <c r="AA28" s="1811">
        <f t="shared" si="15"/>
        <v>1</v>
      </c>
      <c r="AB28" s="1811">
        <f t="shared" si="16"/>
        <v>1</v>
      </c>
      <c r="AC28" s="1811">
        <f t="shared" si="17"/>
        <v>1</v>
      </c>
    </row>
    <row r="29" spans="1:29" ht="15" hidden="1">
      <c r="A29" s="428"/>
      <c r="B29" s="1386">
        <v>111</v>
      </c>
      <c r="C29" s="434"/>
      <c r="D29" s="435">
        <v>100</v>
      </c>
      <c r="E29" s="434"/>
      <c r="F29" s="435">
        <f>SUMIF(94:94,E29,95:95)-SUMIF(94:94,C29,95:95)+100</f>
        <v>100</v>
      </c>
      <c r="G29" s="2612"/>
      <c r="H29" s="435">
        <f>SUMIF(94:94,G29,95:95)-SUMIF(94:94,C29,95:95)+100</f>
        <v>100</v>
      </c>
      <c r="I29" s="434"/>
      <c r="J29" s="435">
        <f>SUMIF(94:94,I29,95:95)-SUMIF(94:94,C29,95:95)+100</f>
        <v>100</v>
      </c>
      <c r="K29" s="2598"/>
      <c r="L29" s="1140"/>
      <c r="M29" s="1131"/>
      <c r="N29" s="1131"/>
      <c r="O29" s="1131"/>
      <c r="P29" s="3393"/>
      <c r="Q29" s="1810">
        <f t="shared" si="11"/>
        <v>111</v>
      </c>
      <c r="R29" s="774" t="s">
        <v>21</v>
      </c>
      <c r="S29" s="775">
        <f t="shared" si="12"/>
        <v>100</v>
      </c>
      <c r="T29" s="774" t="s">
        <v>21</v>
      </c>
      <c r="U29" s="775">
        <f t="shared" si="13"/>
        <v>100</v>
      </c>
      <c r="V29" s="774" t="s">
        <v>21</v>
      </c>
      <c r="W29" s="775">
        <f t="shared" si="14"/>
        <v>100</v>
      </c>
      <c r="X29" s="1813"/>
      <c r="Y29" s="3323"/>
      <c r="Z29" s="1814">
        <f t="shared" si="18"/>
        <v>111</v>
      </c>
      <c r="AA29" s="1811">
        <f t="shared" si="15"/>
        <v>1</v>
      </c>
      <c r="AB29" s="1811">
        <f t="shared" si="16"/>
        <v>1</v>
      </c>
      <c r="AC29" s="1811">
        <f t="shared" si="17"/>
        <v>1</v>
      </c>
    </row>
    <row r="30" spans="1:29" ht="15" hidden="1">
      <c r="A30" s="428"/>
      <c r="B30" s="1386">
        <v>111</v>
      </c>
      <c r="C30" s="434"/>
      <c r="D30" s="435">
        <v>100</v>
      </c>
      <c r="E30" s="434"/>
      <c r="F30" s="435">
        <f>SUMIF(96:96,E30,97:97)-SUMIF(96:96,C30,97:97)+100</f>
        <v>100</v>
      </c>
      <c r="G30" s="2612"/>
      <c r="H30" s="435">
        <f>SUMIF(96:96,G30,97:97)-SUMIF(96:96,C30,97:97)+100</f>
        <v>100</v>
      </c>
      <c r="I30" s="434"/>
      <c r="J30" s="435">
        <f>SUMIF(96:96,I30,97:97)-SUMIF(96:96,C30,97:97)+100</f>
        <v>100</v>
      </c>
      <c r="K30" s="2598"/>
      <c r="L30" s="1140"/>
      <c r="M30" s="1131"/>
      <c r="N30" s="1131"/>
      <c r="O30" s="1131"/>
      <c r="P30" s="3393"/>
      <c r="Q30" s="1810">
        <f t="shared" si="11"/>
        <v>111</v>
      </c>
      <c r="R30" s="774" t="s">
        <v>21</v>
      </c>
      <c r="S30" s="775">
        <f t="shared" si="12"/>
        <v>100</v>
      </c>
      <c r="T30" s="774" t="s">
        <v>21</v>
      </c>
      <c r="U30" s="775">
        <f t="shared" si="13"/>
        <v>100</v>
      </c>
      <c r="V30" s="774" t="s">
        <v>21</v>
      </c>
      <c r="W30" s="775">
        <f t="shared" si="14"/>
        <v>100</v>
      </c>
      <c r="X30" s="1813"/>
      <c r="Y30" s="3323"/>
      <c r="Z30" s="1814">
        <f t="shared" si="18"/>
        <v>111</v>
      </c>
      <c r="AA30" s="1811">
        <f t="shared" si="15"/>
        <v>1</v>
      </c>
      <c r="AB30" s="1811">
        <f t="shared" si="16"/>
        <v>1</v>
      </c>
      <c r="AC30" s="1811">
        <f t="shared" si="17"/>
        <v>1</v>
      </c>
    </row>
    <row r="31" spans="1:29" ht="15.75" hidden="1" thickBot="1">
      <c r="A31" s="436"/>
      <c r="B31" s="1386">
        <v>111</v>
      </c>
      <c r="C31" s="437"/>
      <c r="D31" s="438">
        <v>100</v>
      </c>
      <c r="E31" s="437"/>
      <c r="F31" s="438">
        <f>SUMIF(98:98,E31,99:99)-SUMIF(98:98,C31,99:99)+100</f>
        <v>100</v>
      </c>
      <c r="G31" s="2613"/>
      <c r="H31" s="438">
        <f>SUMIF(98:98,G31,99:99)-SUMIF(98:98,C31,99:99)+100</f>
        <v>100</v>
      </c>
      <c r="I31" s="437"/>
      <c r="J31" s="438">
        <f>SUMIF(98:98,I31,99:99)-SUMIF(98:98,C31,99:99)+100</f>
        <v>100</v>
      </c>
      <c r="K31" s="2598"/>
      <c r="L31" s="1140"/>
      <c r="M31" s="1131"/>
      <c r="N31" s="1131"/>
      <c r="O31" s="1131"/>
      <c r="P31" s="3393"/>
      <c r="Q31" s="1810">
        <f t="shared" si="11"/>
        <v>111</v>
      </c>
      <c r="R31" s="774" t="s">
        <v>21</v>
      </c>
      <c r="S31" s="775">
        <f t="shared" si="12"/>
        <v>100</v>
      </c>
      <c r="T31" s="774" t="s">
        <v>21</v>
      </c>
      <c r="U31" s="775">
        <f t="shared" si="13"/>
        <v>100</v>
      </c>
      <c r="V31" s="774" t="s">
        <v>21</v>
      </c>
      <c r="W31" s="775">
        <f t="shared" si="14"/>
        <v>100</v>
      </c>
      <c r="X31" s="1813"/>
      <c r="Y31" s="3323"/>
      <c r="Z31" s="1814">
        <f t="shared" si="18"/>
        <v>111</v>
      </c>
      <c r="AA31" s="1811">
        <f t="shared" si="15"/>
        <v>1</v>
      </c>
      <c r="AB31" s="1811">
        <f t="shared" si="16"/>
        <v>1</v>
      </c>
      <c r="AC31" s="1811">
        <f t="shared" si="17"/>
        <v>1</v>
      </c>
    </row>
    <row r="32" spans="1:29" ht="15">
      <c r="A32" s="440" t="s">
        <v>2558</v>
      </c>
      <c r="B32" s="71" t="s">
        <v>2559</v>
      </c>
      <c r="C32" s="2614" t="s">
        <v>3152</v>
      </c>
      <c r="D32" s="467">
        <v>100</v>
      </c>
      <c r="E32" s="2615" t="s">
        <v>3220</v>
      </c>
      <c r="F32" s="461">
        <f>SUMIF(100:100,E32,101:101)-SUMIF(100:100,C32,101:101)+100</f>
        <v>103</v>
      </c>
      <c r="G32" s="2614" t="s">
        <v>3152</v>
      </c>
      <c r="H32" s="467">
        <f>SUMIF(100:100,G32,101:101)-SUMIF(100:100,C32,101:101)+100</f>
        <v>100</v>
      </c>
      <c r="I32" s="2615" t="s">
        <v>3221</v>
      </c>
      <c r="J32" s="435">
        <f>SUMIF(100:100,I32,101:101)-SUMIF(100:100,C32,101:101)+100</f>
        <v>104</v>
      </c>
      <c r="K32" s="426">
        <v>1</v>
      </c>
      <c r="L32" s="1140"/>
      <c r="M32" s="1131"/>
      <c r="N32" s="1131"/>
      <c r="O32" s="1131"/>
      <c r="P32" s="3388" t="s">
        <v>2560</v>
      </c>
      <c r="Q32" s="1810" t="str">
        <f t="shared" si="11"/>
        <v>建筑类型</v>
      </c>
      <c r="R32" s="774" t="s">
        <v>21</v>
      </c>
      <c r="S32" s="775">
        <f t="shared" si="12"/>
        <v>103</v>
      </c>
      <c r="T32" s="774" t="s">
        <v>21</v>
      </c>
      <c r="U32" s="775">
        <f t="shared" si="13"/>
        <v>100</v>
      </c>
      <c r="V32" s="774" t="s">
        <v>21</v>
      </c>
      <c r="W32" s="775">
        <f t="shared" si="14"/>
        <v>104</v>
      </c>
      <c r="X32" s="1813"/>
      <c r="Y32" s="3325" t="s">
        <v>2560</v>
      </c>
      <c r="Z32" s="1814" t="str">
        <f t="shared" si="18"/>
        <v>建筑类型</v>
      </c>
      <c r="AA32" s="1811">
        <f t="shared" si="15"/>
        <v>0.970873786407767</v>
      </c>
      <c r="AB32" s="1811">
        <f t="shared" si="16"/>
        <v>1</v>
      </c>
      <c r="AC32" s="1811">
        <f t="shared" si="17"/>
        <v>0.96153846153846156</v>
      </c>
    </row>
    <row r="33" spans="1:29" s="471" customFormat="1" ht="15">
      <c r="A33" s="468"/>
      <c r="B33" s="422" t="s">
        <v>2561</v>
      </c>
      <c r="C33" s="469">
        <v>220</v>
      </c>
      <c r="D33" s="136">
        <v>100</v>
      </c>
      <c r="E33" s="430">
        <v>351</v>
      </c>
      <c r="F33" s="425">
        <f>LOOKUP(E33,103:103,104:104)-LOOKUP(C33,103:103,104:104)+100</f>
        <v>101</v>
      </c>
      <c r="G33" s="429">
        <v>215</v>
      </c>
      <c r="H33" s="136">
        <f>LOOKUP(G33,103:103,104:104)-LOOKUP(C33,103:103,104:104)+100</f>
        <v>100</v>
      </c>
      <c r="I33" s="430">
        <v>691</v>
      </c>
      <c r="J33" s="136">
        <f>LOOKUP(I33,103:103,104:104)-LOOKUP(C33,103:103,104:104)+100</f>
        <v>102</v>
      </c>
      <c r="K33" s="2598"/>
      <c r="L33" s="1138"/>
      <c r="M33" s="1141"/>
      <c r="N33" s="1141"/>
      <c r="O33" s="1141"/>
      <c r="P33" s="3389"/>
      <c r="Q33" s="776" t="str">
        <f t="shared" si="11"/>
        <v>项目建筑规模</v>
      </c>
      <c r="R33" s="777" t="s">
        <v>21</v>
      </c>
      <c r="S33" s="778">
        <f t="shared" si="12"/>
        <v>101</v>
      </c>
      <c r="T33" s="777" t="s">
        <v>21</v>
      </c>
      <c r="U33" s="778">
        <f t="shared" si="13"/>
        <v>100</v>
      </c>
      <c r="V33" s="777" t="s">
        <v>21</v>
      </c>
      <c r="W33" s="778">
        <f t="shared" si="14"/>
        <v>102</v>
      </c>
      <c r="X33" s="779"/>
      <c r="Y33" s="3325"/>
      <c r="Z33" s="780" t="str">
        <f t="shared" si="18"/>
        <v>项目建筑规模</v>
      </c>
      <c r="AA33" s="1811">
        <f t="shared" si="15"/>
        <v>0.99009900990099009</v>
      </c>
      <c r="AB33" s="1811">
        <f t="shared" si="16"/>
        <v>1</v>
      </c>
      <c r="AC33" s="1811">
        <f t="shared" si="17"/>
        <v>0.98039215686274506</v>
      </c>
    </row>
    <row r="34" spans="1:29" ht="15">
      <c r="A34" s="472"/>
      <c r="B34" s="422" t="s">
        <v>2562</v>
      </c>
      <c r="C34" s="2616" t="s">
        <v>3169</v>
      </c>
      <c r="D34" s="435">
        <v>100</v>
      </c>
      <c r="E34" s="2616" t="s">
        <v>3169</v>
      </c>
      <c r="F34" s="461">
        <f>SUMIF(105:105,E34,106:106)-SUMIF(105:105,C34,106:106)+100</f>
        <v>100</v>
      </c>
      <c r="G34" s="2616" t="s">
        <v>3169</v>
      </c>
      <c r="H34" s="435">
        <f>SUMIF(105:105,G34,106:106)-SUMIF(105:105,C34,106:106)+100</f>
        <v>100</v>
      </c>
      <c r="I34" s="2616" t="s">
        <v>3169</v>
      </c>
      <c r="J34" s="435">
        <f>SUMIF(105:105,I34,106:106)-SUMIF(105:105,C34,106:106)+100</f>
        <v>100</v>
      </c>
      <c r="K34" s="426"/>
      <c r="L34" s="1140"/>
      <c r="M34" s="1131"/>
      <c r="N34" s="1131"/>
      <c r="O34" s="1131"/>
      <c r="P34" s="3389"/>
      <c r="Q34" s="1810" t="str">
        <f t="shared" si="11"/>
        <v>建筑结构</v>
      </c>
      <c r="R34" s="774" t="s">
        <v>21</v>
      </c>
      <c r="S34" s="775">
        <f t="shared" si="12"/>
        <v>100</v>
      </c>
      <c r="T34" s="774" t="s">
        <v>21</v>
      </c>
      <c r="U34" s="775">
        <f t="shared" si="13"/>
        <v>100</v>
      </c>
      <c r="V34" s="774" t="s">
        <v>21</v>
      </c>
      <c r="W34" s="775">
        <f t="shared" si="14"/>
        <v>100</v>
      </c>
      <c r="X34" s="1813"/>
      <c r="Y34" s="3325"/>
      <c r="Z34" s="1814" t="str">
        <f t="shared" si="18"/>
        <v>建筑结构</v>
      </c>
      <c r="AA34" s="1811">
        <f t="shared" si="15"/>
        <v>1</v>
      </c>
      <c r="AB34" s="1811">
        <f t="shared" si="16"/>
        <v>1</v>
      </c>
      <c r="AC34" s="1811">
        <f t="shared" si="17"/>
        <v>1</v>
      </c>
    </row>
    <row r="35" spans="1:29" ht="15">
      <c r="A35" s="472"/>
      <c r="B35" s="422" t="s">
        <v>2563</v>
      </c>
      <c r="C35" s="2610"/>
      <c r="D35" s="435">
        <v>100</v>
      </c>
      <c r="E35" s="2611"/>
      <c r="F35" s="461">
        <f>SUMIF(107:107,E35,108:108)-SUMIF(107:107,C35,108:108)+100</f>
        <v>100</v>
      </c>
      <c r="G35" s="2610"/>
      <c r="H35" s="435">
        <f>SUMIF(107:107,G35,108:108)-SUMIF(107:107,C35,108:108)+100</f>
        <v>100</v>
      </c>
      <c r="I35" s="2611"/>
      <c r="J35" s="435">
        <f>SUMIF(107:107,I35,108:108)-SUMIF(107:107,C35,108:108)+100</f>
        <v>100</v>
      </c>
      <c r="K35" s="426"/>
      <c r="L35" s="1140"/>
      <c r="M35" s="1131"/>
      <c r="N35" s="1131"/>
      <c r="O35" s="1131"/>
      <c r="P35" s="3389"/>
      <c r="Q35" s="1810" t="str">
        <f t="shared" si="11"/>
        <v>建筑品质</v>
      </c>
      <c r="R35" s="774" t="s">
        <v>21</v>
      </c>
      <c r="S35" s="775">
        <f t="shared" si="12"/>
        <v>100</v>
      </c>
      <c r="T35" s="774" t="s">
        <v>21</v>
      </c>
      <c r="U35" s="775">
        <f t="shared" si="13"/>
        <v>100</v>
      </c>
      <c r="V35" s="774" t="s">
        <v>21</v>
      </c>
      <c r="W35" s="775">
        <f t="shared" si="14"/>
        <v>100</v>
      </c>
      <c r="X35" s="1813"/>
      <c r="Y35" s="3325"/>
      <c r="Z35" s="1814" t="str">
        <f t="shared" si="18"/>
        <v>建筑品质</v>
      </c>
      <c r="AA35" s="1811">
        <f t="shared" si="15"/>
        <v>1</v>
      </c>
      <c r="AB35" s="1811">
        <f t="shared" si="16"/>
        <v>1</v>
      </c>
      <c r="AC35" s="1811">
        <f t="shared" si="17"/>
        <v>1</v>
      </c>
    </row>
    <row r="36" spans="1:29" ht="15">
      <c r="A36" s="472"/>
      <c r="B36" s="422" t="s">
        <v>2564</v>
      </c>
      <c r="C36" s="2610" t="s">
        <v>3217</v>
      </c>
      <c r="D36" s="435">
        <v>100</v>
      </c>
      <c r="E36" s="2610" t="s">
        <v>3217</v>
      </c>
      <c r="F36" s="461">
        <f>SUMIF(109:109,E36,110:110)-SUMIF(109:109,C36,110:110)+100</f>
        <v>100</v>
      </c>
      <c r="G36" s="2610" t="s">
        <v>3217</v>
      </c>
      <c r="H36" s="435">
        <f>SUMIF(109:109,G36,110:110)-SUMIF(109:109,C36,110:110)+100</f>
        <v>100</v>
      </c>
      <c r="I36" s="2610" t="s">
        <v>3217</v>
      </c>
      <c r="J36" s="435">
        <f>SUMIF(109:109,I36,110:110)-SUMIF(109:109,C36,110:110)+100</f>
        <v>100</v>
      </c>
      <c r="K36" s="426"/>
      <c r="L36" s="1140"/>
      <c r="M36" s="1131"/>
      <c r="N36" s="1131"/>
      <c r="O36" s="1131"/>
      <c r="P36" s="3389"/>
      <c r="Q36" s="1810" t="str">
        <f t="shared" si="11"/>
        <v>公共部分装修</v>
      </c>
      <c r="R36" s="774" t="s">
        <v>21</v>
      </c>
      <c r="S36" s="775">
        <f t="shared" si="12"/>
        <v>100</v>
      </c>
      <c r="T36" s="774" t="s">
        <v>21</v>
      </c>
      <c r="U36" s="775">
        <f t="shared" si="13"/>
        <v>100</v>
      </c>
      <c r="V36" s="774" t="s">
        <v>21</v>
      </c>
      <c r="W36" s="775">
        <f t="shared" si="14"/>
        <v>100</v>
      </c>
      <c r="X36" s="1813"/>
      <c r="Y36" s="3325"/>
      <c r="Z36" s="1814" t="str">
        <f t="shared" si="18"/>
        <v>公共部分装修</v>
      </c>
      <c r="AA36" s="1811">
        <f t="shared" si="15"/>
        <v>1</v>
      </c>
      <c r="AB36" s="1811">
        <f t="shared" si="16"/>
        <v>1</v>
      </c>
      <c r="AC36" s="1811">
        <f t="shared" si="17"/>
        <v>1</v>
      </c>
    </row>
    <row r="37" spans="1:29" s="117" customFormat="1" ht="15">
      <c r="A37" s="473"/>
      <c r="B37" s="422" t="s">
        <v>2565</v>
      </c>
      <c r="C37" s="474">
        <v>1</v>
      </c>
      <c r="D37" s="136">
        <v>100</v>
      </c>
      <c r="E37" s="474">
        <v>1</v>
      </c>
      <c r="F37" s="425">
        <f>LOOKUP(E37,112:112,113:113)-LOOKUP(C37,112:112,113:113)+100</f>
        <v>100</v>
      </c>
      <c r="G37" s="474">
        <v>1</v>
      </c>
      <c r="H37" s="136">
        <f>LOOKUP(G37,112:112,113:113)-LOOKUP(C37,112:112,113:113)+100</f>
        <v>100</v>
      </c>
      <c r="I37" s="474">
        <v>1</v>
      </c>
      <c r="J37" s="136">
        <f>LOOKUP(I37,112:112,113:113)-LOOKUP(C37,112:112,113:113)+100</f>
        <v>100</v>
      </c>
      <c r="K37" s="426"/>
      <c r="L37" s="1132"/>
      <c r="M37" s="1133"/>
      <c r="N37" s="1133"/>
      <c r="O37" s="1133"/>
      <c r="P37" s="3389"/>
      <c r="Q37" s="1795" t="str">
        <f t="shared" si="11"/>
        <v>成新度</v>
      </c>
      <c r="R37" s="770" t="s">
        <v>21</v>
      </c>
      <c r="S37" s="771">
        <f t="shared" si="12"/>
        <v>100</v>
      </c>
      <c r="T37" s="770" t="s">
        <v>21</v>
      </c>
      <c r="U37" s="771">
        <f t="shared" si="13"/>
        <v>100</v>
      </c>
      <c r="V37" s="770" t="s">
        <v>21</v>
      </c>
      <c r="W37" s="771">
        <f t="shared" si="14"/>
        <v>100</v>
      </c>
      <c r="X37" s="772"/>
      <c r="Y37" s="3325"/>
      <c r="Z37" s="55" t="str">
        <f t="shared" si="18"/>
        <v>成新度</v>
      </c>
      <c r="AA37" s="773">
        <f t="shared" si="15"/>
        <v>1</v>
      </c>
      <c r="AB37" s="773">
        <f t="shared" si="16"/>
        <v>1</v>
      </c>
      <c r="AC37" s="773">
        <f t="shared" si="17"/>
        <v>1</v>
      </c>
    </row>
    <row r="38" spans="1:29" ht="15">
      <c r="A38" s="472"/>
      <c r="B38" s="422" t="s">
        <v>2566</v>
      </c>
      <c r="C38" s="2610" t="s">
        <v>3218</v>
      </c>
      <c r="D38" s="435">
        <v>100</v>
      </c>
      <c r="E38" s="2610" t="s">
        <v>3218</v>
      </c>
      <c r="F38" s="461">
        <f>SUMIF(114:114,E38,115:115)-SUMIF(114:114,C38,115:115)+100</f>
        <v>100</v>
      </c>
      <c r="G38" s="2610" t="s">
        <v>3218</v>
      </c>
      <c r="H38" s="435">
        <f>SUMIF(114:114,G38,115:115)-SUMIF(114:114,C38,115:115)+100</f>
        <v>100</v>
      </c>
      <c r="I38" s="2610" t="s">
        <v>3218</v>
      </c>
      <c r="J38" s="435">
        <f>SUMIF(114:114,I38,115:115)-SUMIF(114:114,C38,115:115)+100</f>
        <v>100</v>
      </c>
      <c r="K38" s="426"/>
      <c r="L38" s="1140"/>
      <c r="M38" s="1131"/>
      <c r="N38" s="1131"/>
      <c r="O38" s="1131"/>
      <c r="P38" s="3389" t="s">
        <v>2560</v>
      </c>
      <c r="Q38" s="1810" t="str">
        <f t="shared" si="11"/>
        <v>物业管理</v>
      </c>
      <c r="R38" s="774" t="s">
        <v>21</v>
      </c>
      <c r="S38" s="775">
        <f t="shared" si="12"/>
        <v>100</v>
      </c>
      <c r="T38" s="774" t="s">
        <v>21</v>
      </c>
      <c r="U38" s="775">
        <f t="shared" si="13"/>
        <v>100</v>
      </c>
      <c r="V38" s="774" t="s">
        <v>21</v>
      </c>
      <c r="W38" s="775">
        <f t="shared" si="14"/>
        <v>100</v>
      </c>
      <c r="X38" s="1813"/>
      <c r="Y38" s="3325" t="s">
        <v>2560</v>
      </c>
      <c r="Z38" s="1814" t="str">
        <f t="shared" si="18"/>
        <v>物业管理</v>
      </c>
      <c r="AA38" s="1811">
        <f t="shared" si="15"/>
        <v>1</v>
      </c>
      <c r="AB38" s="1811">
        <f t="shared" si="16"/>
        <v>1</v>
      </c>
      <c r="AC38" s="1811">
        <f t="shared" si="17"/>
        <v>1</v>
      </c>
    </row>
    <row r="39" spans="1:29" ht="15">
      <c r="A39" s="472"/>
      <c r="B39" s="422" t="s">
        <v>2567</v>
      </c>
      <c r="C39" s="2610"/>
      <c r="D39" s="435">
        <v>100</v>
      </c>
      <c r="E39" s="2611"/>
      <c r="F39" s="461">
        <f>SUMIF(116:116,E39,117:117)-SUMIF(116:116,C39,117:117)+100</f>
        <v>100</v>
      </c>
      <c r="G39" s="2610"/>
      <c r="H39" s="435">
        <f>SUMIF(116:116,G39,117:117)-SUMIF(116:116,C39,117:117)+100</f>
        <v>100</v>
      </c>
      <c r="I39" s="2611"/>
      <c r="J39" s="435">
        <f>SUMIF(116:116,I39,117:117)-SUMIF(116:116,C39,117:117)+100</f>
        <v>100</v>
      </c>
      <c r="K39" s="426"/>
      <c r="L39" s="1140"/>
      <c r="M39" s="1131"/>
      <c r="N39" s="1131"/>
      <c r="O39" s="1131"/>
      <c r="P39" s="3389"/>
      <c r="Q39" s="1810" t="str">
        <f t="shared" si="11"/>
        <v>市政基础设施</v>
      </c>
      <c r="R39" s="774" t="s">
        <v>21</v>
      </c>
      <c r="S39" s="775">
        <f t="shared" si="12"/>
        <v>100</v>
      </c>
      <c r="T39" s="774" t="s">
        <v>21</v>
      </c>
      <c r="U39" s="775">
        <f t="shared" si="13"/>
        <v>100</v>
      </c>
      <c r="V39" s="774" t="s">
        <v>21</v>
      </c>
      <c r="W39" s="775">
        <f t="shared" si="14"/>
        <v>100</v>
      </c>
      <c r="X39" s="1813"/>
      <c r="Y39" s="3325"/>
      <c r="Z39" s="1814" t="str">
        <f t="shared" si="18"/>
        <v>市政基础设施</v>
      </c>
      <c r="AA39" s="1811">
        <f t="shared" si="15"/>
        <v>1</v>
      </c>
      <c r="AB39" s="1811">
        <f t="shared" si="16"/>
        <v>1</v>
      </c>
      <c r="AC39" s="1811">
        <f t="shared" si="17"/>
        <v>1</v>
      </c>
    </row>
    <row r="40" spans="1:29" ht="15">
      <c r="A40" s="472"/>
      <c r="B40" s="422" t="s">
        <v>2568</v>
      </c>
      <c r="C40" s="2610"/>
      <c r="D40" s="435">
        <v>100</v>
      </c>
      <c r="E40" s="2611"/>
      <c r="F40" s="461">
        <f>SUMIF(118:118,E40,119:119)-SUMIF(118:118,C40,119:119)+100</f>
        <v>100</v>
      </c>
      <c r="G40" s="2610"/>
      <c r="H40" s="435">
        <f>SUMIF(118:118,G40,119:119)-SUMIF(118:118,C40,119:119)+100</f>
        <v>100</v>
      </c>
      <c r="I40" s="2611"/>
      <c r="J40" s="435">
        <f>SUMIF(118:118,I40,119:119)-SUMIF(118:118,C40,119:119)+100</f>
        <v>100</v>
      </c>
      <c r="K40" s="426"/>
      <c r="L40" s="1140"/>
      <c r="M40" s="1131"/>
      <c r="N40" s="1131"/>
      <c r="O40" s="1131"/>
      <c r="P40" s="3389"/>
      <c r="Q40" s="1810" t="str">
        <f t="shared" si="11"/>
        <v>房型</v>
      </c>
      <c r="R40" s="774" t="s">
        <v>21</v>
      </c>
      <c r="S40" s="775">
        <f t="shared" si="12"/>
        <v>100</v>
      </c>
      <c r="T40" s="774" t="s">
        <v>21</v>
      </c>
      <c r="U40" s="775">
        <f t="shared" si="13"/>
        <v>100</v>
      </c>
      <c r="V40" s="774" t="s">
        <v>21</v>
      </c>
      <c r="W40" s="775">
        <f t="shared" si="14"/>
        <v>100</v>
      </c>
      <c r="X40" s="1813"/>
      <c r="Y40" s="3325"/>
      <c r="Z40" s="1814" t="str">
        <f t="shared" si="18"/>
        <v>房型</v>
      </c>
      <c r="AA40" s="1811">
        <f t="shared" si="15"/>
        <v>1</v>
      </c>
      <c r="AB40" s="1811">
        <f t="shared" si="16"/>
        <v>1</v>
      </c>
      <c r="AC40" s="1811">
        <f t="shared" si="17"/>
        <v>1</v>
      </c>
    </row>
    <row r="41" spans="1:29" s="471" customFormat="1" ht="28.5">
      <c r="A41" s="468"/>
      <c r="B41" s="422" t="s">
        <v>2569</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8"/>
      <c r="L41" s="1138"/>
      <c r="M41" s="1141"/>
      <c r="N41" s="1141"/>
      <c r="O41" s="1141"/>
      <c r="P41" s="3389"/>
      <c r="Q41" s="776" t="str">
        <f t="shared" si="11"/>
        <v>单套/主力户型建筑面积</v>
      </c>
      <c r="R41" s="777" t="s">
        <v>21</v>
      </c>
      <c r="S41" s="778">
        <f t="shared" si="12"/>
        <v>100</v>
      </c>
      <c r="T41" s="777" t="s">
        <v>21</v>
      </c>
      <c r="U41" s="778">
        <f t="shared" si="13"/>
        <v>100</v>
      </c>
      <c r="V41" s="777" t="s">
        <v>21</v>
      </c>
      <c r="W41" s="778">
        <f t="shared" si="14"/>
        <v>100</v>
      </c>
      <c r="X41" s="779"/>
      <c r="Y41" s="3325"/>
      <c r="Z41" s="780" t="str">
        <f t="shared" si="18"/>
        <v>单套/主力户型建筑面积</v>
      </c>
      <c r="AA41" s="1811">
        <f t="shared" si="15"/>
        <v>1</v>
      </c>
      <c r="AB41" s="1811">
        <f t="shared" si="16"/>
        <v>1</v>
      </c>
      <c r="AC41" s="1811">
        <f t="shared" si="17"/>
        <v>1</v>
      </c>
    </row>
    <row r="42" spans="1:29" ht="15">
      <c r="A42" s="472"/>
      <c r="B42" s="422" t="s">
        <v>2570</v>
      </c>
      <c r="C42" s="2610" t="s">
        <v>3216</v>
      </c>
      <c r="D42" s="435">
        <v>100</v>
      </c>
      <c r="E42" s="2610" t="s">
        <v>3216</v>
      </c>
      <c r="F42" s="461">
        <f>SUMIF(122:122,E42,123:123)-SUMIF(122:122,C42,123:123)+100</f>
        <v>100</v>
      </c>
      <c r="G42" s="2610" t="s">
        <v>3216</v>
      </c>
      <c r="H42" s="435">
        <f>SUMIF(122:122,G42,123:123)-SUMIF(122:122,C42,123:123)+100</f>
        <v>100</v>
      </c>
      <c r="I42" s="2610" t="s">
        <v>3216</v>
      </c>
      <c r="J42" s="435">
        <f>SUMIF(122:122,I42,123:123)-SUMIF(122:122,C42,123:123)+100</f>
        <v>100</v>
      </c>
      <c r="K42" s="426"/>
      <c r="L42" s="1140"/>
      <c r="M42" s="1131"/>
      <c r="N42" s="1131"/>
      <c r="O42" s="1131"/>
      <c r="P42" s="3389"/>
      <c r="Q42" s="1810" t="str">
        <f t="shared" si="11"/>
        <v>内部装修</v>
      </c>
      <c r="R42" s="774" t="s">
        <v>21</v>
      </c>
      <c r="S42" s="775">
        <f t="shared" si="12"/>
        <v>100</v>
      </c>
      <c r="T42" s="774" t="s">
        <v>21</v>
      </c>
      <c r="U42" s="775">
        <f t="shared" si="13"/>
        <v>100</v>
      </c>
      <c r="V42" s="774" t="s">
        <v>21</v>
      </c>
      <c r="W42" s="775">
        <f t="shared" si="14"/>
        <v>100</v>
      </c>
      <c r="X42" s="1813"/>
      <c r="Y42" s="3325"/>
      <c r="Z42" s="1814" t="str">
        <f t="shared" si="18"/>
        <v>内部装修</v>
      </c>
      <c r="AA42" s="1811">
        <f t="shared" si="15"/>
        <v>1</v>
      </c>
      <c r="AB42" s="1811">
        <f t="shared" si="16"/>
        <v>1</v>
      </c>
      <c r="AC42" s="1811">
        <f t="shared" si="17"/>
        <v>1</v>
      </c>
    </row>
    <row r="43" spans="1:29" ht="15">
      <c r="A43" s="472"/>
      <c r="B43" s="422" t="s">
        <v>2571</v>
      </c>
      <c r="C43" s="2610" t="s">
        <v>3189</v>
      </c>
      <c r="D43" s="435">
        <v>100</v>
      </c>
      <c r="E43" s="2610" t="s">
        <v>3189</v>
      </c>
      <c r="F43" s="461">
        <f>SUMIF(124:124,E43,125:125)-SUMIF(124:124,C43,125:125)+100</f>
        <v>100</v>
      </c>
      <c r="G43" s="2610" t="s">
        <v>3189</v>
      </c>
      <c r="H43" s="435">
        <f>SUMIF(124:124,G43,125:125)-SUMIF(124:124,C43,125:125)+100</f>
        <v>100</v>
      </c>
      <c r="I43" s="2610" t="s">
        <v>3189</v>
      </c>
      <c r="J43" s="435">
        <f>SUMIF(124:124,I43,125:125)-SUMIF(124:124,C43,125:125)+100</f>
        <v>100</v>
      </c>
      <c r="K43" s="426"/>
      <c r="L43" s="1140"/>
      <c r="M43" s="1131"/>
      <c r="N43" s="1131"/>
      <c r="O43" s="1131"/>
      <c r="P43" s="3389"/>
      <c r="Q43" s="1810" t="str">
        <f t="shared" si="11"/>
        <v>内部装修维护情况</v>
      </c>
      <c r="R43" s="774" t="s">
        <v>21</v>
      </c>
      <c r="S43" s="775">
        <f t="shared" si="12"/>
        <v>100</v>
      </c>
      <c r="T43" s="774" t="s">
        <v>21</v>
      </c>
      <c r="U43" s="775">
        <f t="shared" si="13"/>
        <v>100</v>
      </c>
      <c r="V43" s="774" t="s">
        <v>21</v>
      </c>
      <c r="W43" s="775">
        <f t="shared" si="14"/>
        <v>100</v>
      </c>
      <c r="X43" s="1813"/>
      <c r="Y43" s="3325"/>
      <c r="Z43" s="1814" t="str">
        <f t="shared" si="18"/>
        <v>内部装修维护情况</v>
      </c>
      <c r="AA43" s="1811">
        <f t="shared" si="15"/>
        <v>1</v>
      </c>
      <c r="AB43" s="1811">
        <f t="shared" si="16"/>
        <v>1</v>
      </c>
      <c r="AC43" s="1811">
        <f t="shared" si="17"/>
        <v>1</v>
      </c>
    </row>
    <row r="44" spans="1:29" s="117" customFormat="1" ht="15">
      <c r="A44" s="473"/>
      <c r="B44" s="2992" t="s">
        <v>3365</v>
      </c>
      <c r="C44" s="2993" t="s">
        <v>3358</v>
      </c>
      <c r="D44" s="136">
        <v>100</v>
      </c>
      <c r="E44" s="2993" t="s">
        <v>3359</v>
      </c>
      <c r="F44" s="425">
        <f>SUMIF(126:126,E44,127:127)-SUMIF(126:126,C44,127:127)+100</f>
        <v>90</v>
      </c>
      <c r="G44" s="2993" t="s">
        <v>3359</v>
      </c>
      <c r="H44" s="136">
        <f>SUMIF(126:126,G44,127:127)-SUMIF(126:126,C44,127:127)+100</f>
        <v>90</v>
      </c>
      <c r="I44" s="2993" t="s">
        <v>3359</v>
      </c>
      <c r="J44" s="136">
        <f>SUMIF(126:126,I44,127:127)-SUMIF(126:126,C44,127:127)+100</f>
        <v>90</v>
      </c>
      <c r="K44" s="2598"/>
      <c r="L44" s="1132"/>
      <c r="M44" s="1133"/>
      <c r="N44" s="1133"/>
      <c r="O44" s="1133"/>
      <c r="P44" s="3389"/>
      <c r="Q44" s="1795" t="str">
        <f t="shared" si="11"/>
        <v>单价是否含车库</v>
      </c>
      <c r="R44" s="770" t="s">
        <v>21</v>
      </c>
      <c r="S44" s="771">
        <f t="shared" si="12"/>
        <v>90</v>
      </c>
      <c r="T44" s="770" t="s">
        <v>21</v>
      </c>
      <c r="U44" s="771">
        <f t="shared" si="13"/>
        <v>90</v>
      </c>
      <c r="V44" s="770" t="s">
        <v>21</v>
      </c>
      <c r="W44" s="771">
        <f t="shared" si="14"/>
        <v>90</v>
      </c>
      <c r="X44" s="772"/>
      <c r="Y44" s="3325"/>
      <c r="Z44" s="55" t="str">
        <f t="shared" si="18"/>
        <v>单价是否含车库</v>
      </c>
      <c r="AA44" s="773">
        <f t="shared" si="15"/>
        <v>1.1111111111111112</v>
      </c>
      <c r="AB44" s="773">
        <f t="shared" si="16"/>
        <v>1.1111111111111112</v>
      </c>
      <c r="AC44" s="773">
        <f t="shared" si="17"/>
        <v>1.1111111111111112</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8"/>
      <c r="L45" s="1140"/>
      <c r="M45" s="1131"/>
      <c r="N45" s="1131"/>
      <c r="O45" s="1131"/>
      <c r="P45" s="3389"/>
      <c r="Q45" s="1810">
        <f t="shared" si="11"/>
        <v>111</v>
      </c>
      <c r="R45" s="774" t="s">
        <v>21</v>
      </c>
      <c r="S45" s="775">
        <f t="shared" si="12"/>
        <v>100</v>
      </c>
      <c r="T45" s="774" t="s">
        <v>21</v>
      </c>
      <c r="U45" s="775">
        <f t="shared" si="13"/>
        <v>100</v>
      </c>
      <c r="V45" s="774" t="s">
        <v>21</v>
      </c>
      <c r="W45" s="775">
        <f t="shared" si="14"/>
        <v>100</v>
      </c>
      <c r="X45" s="1813"/>
      <c r="Y45" s="3325"/>
      <c r="Z45" s="1814">
        <f t="shared" si="18"/>
        <v>111</v>
      </c>
      <c r="AA45" s="1811">
        <f t="shared" si="15"/>
        <v>1</v>
      </c>
      <c r="AB45" s="1811">
        <f t="shared" si="16"/>
        <v>1</v>
      </c>
      <c r="AC45" s="1811">
        <f t="shared" si="17"/>
        <v>1</v>
      </c>
    </row>
    <row r="46" spans="1:29" ht="15.75" thickBot="1">
      <c r="A46" s="478"/>
      <c r="B46" s="2599">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8"/>
      <c r="L46" s="1140"/>
      <c r="M46" s="1131"/>
      <c r="N46" s="1131"/>
      <c r="O46" s="1131"/>
      <c r="P46" s="3390"/>
      <c r="Q46" s="1810">
        <f t="shared" si="11"/>
        <v>111</v>
      </c>
      <c r="R46" s="774" t="s">
        <v>20</v>
      </c>
      <c r="S46" s="775">
        <f t="shared" si="12"/>
        <v>100</v>
      </c>
      <c r="T46" s="774" t="s">
        <v>20</v>
      </c>
      <c r="U46" s="775">
        <f t="shared" si="13"/>
        <v>100</v>
      </c>
      <c r="V46" s="774" t="s">
        <v>20</v>
      </c>
      <c r="W46" s="775">
        <f t="shared" si="14"/>
        <v>100</v>
      </c>
      <c r="X46" s="1813"/>
      <c r="Y46" s="3391"/>
      <c r="Z46" s="1814">
        <f t="shared" si="18"/>
        <v>111</v>
      </c>
      <c r="AA46" s="1811">
        <f t="shared" si="15"/>
        <v>1</v>
      </c>
      <c r="AB46" s="1811">
        <f t="shared" si="16"/>
        <v>1</v>
      </c>
      <c r="AC46" s="1811">
        <f t="shared" si="17"/>
        <v>1</v>
      </c>
    </row>
    <row r="47" spans="1:29" ht="15">
      <c r="A47" s="479" t="s">
        <v>2572</v>
      </c>
      <c r="B47" s="480"/>
      <c r="C47" s="1407" t="s">
        <v>19</v>
      </c>
      <c r="D47" s="1408"/>
      <c r="E47" s="3012">
        <v>68376</v>
      </c>
      <c r="F47" s="1410"/>
      <c r="G47" s="3013">
        <v>60465</v>
      </c>
      <c r="H47" s="1412"/>
      <c r="I47" s="3012">
        <v>65123</v>
      </c>
      <c r="J47" s="1412"/>
      <c r="K47" s="2617"/>
      <c r="L47" s="1143"/>
      <c r="M47" s="1144"/>
      <c r="N47" s="1131"/>
      <c r="O47" s="1144"/>
      <c r="P47" s="3320" t="str">
        <f>A47</f>
        <v>成交单价（元/平方米）</v>
      </c>
      <c r="Q47" s="3320"/>
      <c r="R47" s="3387">
        <f>E47</f>
        <v>68376</v>
      </c>
      <c r="S47" s="3387"/>
      <c r="T47" s="3387">
        <f>G47</f>
        <v>60465</v>
      </c>
      <c r="U47" s="3387"/>
      <c r="V47" s="3387">
        <f>I47</f>
        <v>65123</v>
      </c>
      <c r="W47" s="3387"/>
      <c r="X47" s="759"/>
      <c r="Y47" s="781"/>
      <c r="Z47" s="759"/>
      <c r="AA47" s="759"/>
      <c r="AB47" s="759"/>
      <c r="AC47" s="759"/>
    </row>
    <row r="48" spans="1:29" ht="15.75" thickBot="1">
      <c r="A48" s="486" t="s">
        <v>2573</v>
      </c>
      <c r="B48" s="487"/>
      <c r="C48" s="1413">
        <f>R49</f>
        <v>68676</v>
      </c>
      <c r="D48" s="1414"/>
      <c r="E48" s="1415">
        <f>R48</f>
        <v>74588</v>
      </c>
      <c r="F48" s="1415"/>
      <c r="G48" s="1413">
        <f>T48</f>
        <v>65214</v>
      </c>
      <c r="H48" s="1414"/>
      <c r="I48" s="1415">
        <f>V48</f>
        <v>66225</v>
      </c>
      <c r="J48" s="1414"/>
      <c r="K48" s="2618"/>
      <c r="L48" s="1143"/>
      <c r="M48" s="1144"/>
      <c r="N48" s="1144"/>
      <c r="O48" s="1144"/>
      <c r="P48" s="3320" t="str">
        <f>A48</f>
        <v>比较价值（元/平方米）</v>
      </c>
      <c r="Q48" s="3320"/>
      <c r="R48" s="3387">
        <f>IF(F1="售价",ROUND(PRODUCT(R47,AA7:AA46),0),ROUND(PRODUCT(R47,AA7:AA46),1))</f>
        <v>74588</v>
      </c>
      <c r="S48" s="3387"/>
      <c r="T48" s="3387">
        <f>IF(F1="售价",ROUND(PRODUCT(T47,AB7:AB46),0),ROUND(PRODUCT(T47,AB7:AB46),1))</f>
        <v>65214</v>
      </c>
      <c r="U48" s="3387"/>
      <c r="V48" s="3387">
        <f>IF(F1="售价",ROUND(PRODUCT(V47,AC7:AC46),0),ROUND(PRODUCT(V47,AC7:AC46),1))</f>
        <v>66225</v>
      </c>
      <c r="W48" s="3387"/>
      <c r="X48" s="759"/>
      <c r="Y48" s="759"/>
      <c r="Z48" s="759"/>
      <c r="AA48" s="759"/>
      <c r="AB48" s="759"/>
      <c r="AC48" s="759"/>
    </row>
    <row r="49" spans="1:29" ht="15.75" thickBot="1">
      <c r="A49" s="492" t="s">
        <v>2574</v>
      </c>
      <c r="B49" s="493"/>
      <c r="C49" s="1416">
        <f>R49</f>
        <v>68676</v>
      </c>
      <c r="D49" s="1417"/>
      <c r="E49" s="1417"/>
      <c r="F49" s="1417"/>
      <c r="G49" s="1417"/>
      <c r="H49" s="1417"/>
      <c r="I49" s="1417"/>
      <c r="J49" s="1417"/>
      <c r="K49" s="2619"/>
      <c r="L49" s="1143"/>
      <c r="M49" s="1144"/>
      <c r="N49" s="1144"/>
      <c r="O49" s="1144"/>
      <c r="P49" s="3314" t="str">
        <f>A49</f>
        <v>估价对象XX用房的比较价值（楼面单价，元/平方米）</v>
      </c>
      <c r="Q49" s="3315"/>
      <c r="R49" s="3386">
        <f>IF(F1="售价",ROUND(AVERAGE(R48:V48),0),ROUND(AVERAGE(R48:V48),1))</f>
        <v>68676</v>
      </c>
      <c r="S49" s="3386"/>
      <c r="T49" s="3386"/>
      <c r="U49" s="3386"/>
      <c r="V49" s="3386"/>
      <c r="W49" s="3386"/>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2575</v>
      </c>
      <c r="D52" s="498"/>
      <c r="E52" s="499">
        <f>IF(E47&lt;E48,E48/E47-1,E47/E48-1)</f>
        <v>9.0850590850590773E-2</v>
      </c>
      <c r="F52" s="500" t="str">
        <f>IF(OR(E52&gt;=0.3,E52&lt;=-0.3),"超过30%","")</f>
        <v/>
      </c>
      <c r="G52" s="499">
        <f>IF(G47&lt;G48,G48/G47-1,G47/G48-1)</f>
        <v>7.8541304887124852E-2</v>
      </c>
      <c r="H52" s="500" t="str">
        <f>IF(OR(G52&gt;=0.3,G52&lt;=-0.3),"超过30%","")</f>
        <v/>
      </c>
      <c r="I52" s="499">
        <f>IF(I47&lt;I48,I48/I47-1,I47/I48-1)</f>
        <v>1.6921824854505996E-2</v>
      </c>
      <c r="J52" s="500" t="str">
        <f>IF(OR(I52&gt;=0.3,I52&lt;=-0.3),"超过30%","")</f>
        <v/>
      </c>
      <c r="K52" s="1105"/>
      <c r="L52" s="1106"/>
      <c r="M52" s="1144"/>
      <c r="N52" s="1144"/>
      <c r="O52" s="1144"/>
    </row>
    <row r="53" spans="1:29" ht="13.5" customHeight="1">
      <c r="A53" s="1144"/>
      <c r="B53" s="1144"/>
      <c r="C53" s="497" t="s">
        <v>2576</v>
      </c>
      <c r="D53" s="501"/>
      <c r="E53" s="499">
        <f>IF(E48&lt;G48,G48/E48-1,E48/G48-1)</f>
        <v>0.14374214125801199</v>
      </c>
      <c r="F53" s="500" t="str">
        <f>IF(OR(E53&gt;=0.2,E53&lt;=-0.2),"超过20%","")</f>
        <v/>
      </c>
      <c r="G53" s="499">
        <f>IF(G48&lt;I48,I48/G48-1,G48/I48-1)</f>
        <v>1.5502806145919479E-2</v>
      </c>
      <c r="H53" s="500" t="str">
        <f>IF(OR(G53&gt;=0.2,G53&lt;=-0.2),"超过20%","")</f>
        <v/>
      </c>
      <c r="I53" s="499">
        <f>IF(I48&lt;E48,E48/I48-1,I48/E48-1)</f>
        <v>0.12628161570403917</v>
      </c>
      <c r="J53" s="500" t="str">
        <f>IF(OR(I53&gt;=0.2,I53&lt;=-0.2),"超过20%","")</f>
        <v/>
      </c>
      <c r="K53" s="1105"/>
      <c r="L53" s="1106"/>
      <c r="M53" s="1144"/>
      <c r="N53" s="1144"/>
      <c r="O53" s="1144"/>
    </row>
    <row r="54" spans="1:29" s="502" customFormat="1" ht="13.5" customHeight="1">
      <c r="A54" s="1145"/>
      <c r="B54" s="1145"/>
      <c r="C54" s="497" t="s">
        <v>2577</v>
      </c>
      <c r="D54" s="501"/>
      <c r="E54" s="499">
        <f>IF(E47&lt;G47,G47/E47-1,E47/G47-1)</f>
        <v>0.13083602083850154</v>
      </c>
      <c r="F54" s="500" t="str">
        <f>IF(OR(E54&gt;=0.3,E54&lt;=-0.3),"超过30%","")</f>
        <v/>
      </c>
      <c r="G54" s="499">
        <f>IF(G47&lt;I47,I47/G47-1,G47/I47-1)</f>
        <v>7.7036301992888356E-2</v>
      </c>
      <c r="H54" s="500" t="str">
        <f>IF(OR(G54&gt;=0.3,G54&lt;=-0.3),"超过30%","")</f>
        <v/>
      </c>
      <c r="I54" s="499">
        <f>IF(I47&lt;E47,E47/I47-1,I47/E47-1)</f>
        <v>4.9951629992475821E-2</v>
      </c>
      <c r="J54" s="500" t="str">
        <f>IF(OR(I54&gt;=0.3,I54&lt;=-0.3),"超过30%","")</f>
        <v/>
      </c>
      <c r="K54" s="1148"/>
      <c r="L54" s="1149"/>
      <c r="M54" s="1145"/>
      <c r="N54" s="1145"/>
      <c r="O54" s="1145"/>
      <c r="P54" s="2621"/>
    </row>
    <row r="55" spans="1:29" s="502" customFormat="1">
      <c r="A55" s="1145"/>
      <c r="B55" s="1146"/>
      <c r="C55" s="1150"/>
      <c r="D55" s="1145"/>
      <c r="E55" s="1145"/>
      <c r="F55" s="1145"/>
      <c r="G55" s="1145"/>
      <c r="H55" s="1145"/>
      <c r="I55" s="1145"/>
      <c r="J55" s="1145"/>
      <c r="K55" s="1148"/>
      <c r="L55" s="1149"/>
      <c r="M55" s="1145"/>
      <c r="N55" s="1145"/>
      <c r="O55" s="1145"/>
      <c r="P55" s="2621"/>
    </row>
    <row r="56" spans="1:29">
      <c r="A56" s="1144"/>
      <c r="B56" s="1146"/>
      <c r="C56" s="1150"/>
      <c r="D56" s="1144"/>
      <c r="E56" s="1144"/>
      <c r="F56" s="1144"/>
      <c r="G56" s="1144"/>
      <c r="H56" s="1144"/>
      <c r="I56" s="1144"/>
      <c r="J56" s="1144"/>
      <c r="K56" s="1105"/>
      <c r="L56" s="1106"/>
      <c r="M56" s="1144"/>
      <c r="N56" s="1144"/>
      <c r="O56" s="1144"/>
    </row>
    <row r="57" spans="1:29" ht="21.75" thickBot="1">
      <c r="A57" s="763" t="s">
        <v>2578</v>
      </c>
      <c r="B57" s="759"/>
      <c r="C57" s="764"/>
      <c r="D57" s="764"/>
      <c r="E57" s="764"/>
      <c r="F57" s="765"/>
      <c r="G57" s="765"/>
      <c r="H57" s="764"/>
      <c r="I57" s="764"/>
      <c r="J57" s="764"/>
      <c r="K57" s="1160"/>
      <c r="L57" s="1161"/>
      <c r="M57" s="1159"/>
      <c r="N57" s="1159"/>
      <c r="O57" s="1159"/>
      <c r="P57" s="2622"/>
      <c r="Q57" s="504"/>
    </row>
    <row r="58" spans="1:29" s="508" customFormat="1" ht="15">
      <c r="A58" s="505" t="s">
        <v>2579</v>
      </c>
      <c r="B58" s="506"/>
      <c r="C58" s="1576" t="str">
        <f>YEAR(C7)&amp;"-"&amp;MONTH(C7)</f>
        <v>2018-1</v>
      </c>
      <c r="D58" s="1575">
        <f>EDATE(C58,-1)</f>
        <v>43070</v>
      </c>
      <c r="E58" s="1575">
        <f>EDATE(D58,-1)</f>
        <v>43040</v>
      </c>
      <c r="F58" s="1575">
        <f t="shared" ref="F58:O58" si="19">EDATE(E58,-1)</f>
        <v>43009</v>
      </c>
      <c r="G58" s="1575">
        <f t="shared" si="19"/>
        <v>42979</v>
      </c>
      <c r="H58" s="1575">
        <f t="shared" si="19"/>
        <v>42948</v>
      </c>
      <c r="I58" s="1575">
        <f t="shared" si="19"/>
        <v>42917</v>
      </c>
      <c r="J58" s="1575">
        <f t="shared" si="19"/>
        <v>42887</v>
      </c>
      <c r="K58" s="1575">
        <f t="shared" si="19"/>
        <v>42856</v>
      </c>
      <c r="L58" s="1575">
        <f t="shared" si="19"/>
        <v>42826</v>
      </c>
      <c r="M58" s="1575">
        <f t="shared" si="19"/>
        <v>42795</v>
      </c>
      <c r="N58" s="1575">
        <f t="shared" si="19"/>
        <v>42767</v>
      </c>
      <c r="O58" s="1575">
        <f t="shared" si="19"/>
        <v>42736</v>
      </c>
      <c r="P58" s="1570"/>
    </row>
    <row r="59" spans="1:29" s="117" customFormat="1" ht="15">
      <c r="A59" s="509"/>
      <c r="B59" s="2623"/>
      <c r="C59" s="1573">
        <v>100</v>
      </c>
      <c r="D59" s="511"/>
      <c r="E59" s="512"/>
      <c r="F59" s="512"/>
      <c r="G59" s="512"/>
      <c r="H59" s="512"/>
      <c r="I59" s="512"/>
      <c r="J59" s="512"/>
      <c r="K59" s="512"/>
      <c r="L59" s="512"/>
      <c r="M59" s="513"/>
      <c r="N59" s="512"/>
      <c r="O59" s="513"/>
      <c r="P59" s="2624"/>
    </row>
    <row r="60" spans="1:29" s="117" customFormat="1" ht="15.75" thickBot="1">
      <c r="A60" s="515" t="s">
        <v>2580</v>
      </c>
      <c r="B60" s="516"/>
      <c r="C60" s="517"/>
      <c r="D60" s="518"/>
      <c r="E60" s="518"/>
      <c r="F60" s="518"/>
      <c r="G60" s="518"/>
      <c r="H60" s="518"/>
      <c r="I60" s="518"/>
      <c r="J60" s="518"/>
      <c r="K60" s="518"/>
      <c r="L60" s="518"/>
      <c r="M60" s="519"/>
      <c r="N60" s="518"/>
      <c r="O60" s="519"/>
      <c r="P60" s="2624"/>
      <c r="Q60" s="504"/>
    </row>
    <row r="61" spans="1:29" s="117" customFormat="1" ht="15">
      <c r="A61" s="521" t="s">
        <v>2581</v>
      </c>
      <c r="B61" s="510"/>
      <c r="C61" s="522" t="s">
        <v>2582</v>
      </c>
      <c r="D61" s="523"/>
      <c r="E61" s="523"/>
      <c r="F61" s="523"/>
      <c r="G61" s="523"/>
      <c r="H61" s="523"/>
      <c r="I61" s="523"/>
      <c r="J61" s="523"/>
      <c r="K61" s="523"/>
      <c r="L61" s="524"/>
      <c r="M61" s="525"/>
      <c r="N61" s="1151"/>
      <c r="O61" s="1151"/>
      <c r="P61" s="2625"/>
      <c r="Q61" s="504"/>
    </row>
    <row r="62" spans="1:29" s="117" customFormat="1" ht="15.75" thickBot="1">
      <c r="A62" s="521"/>
      <c r="B62" s="510"/>
      <c r="C62" s="511">
        <v>100</v>
      </c>
      <c r="D62" s="512"/>
      <c r="E62" s="512"/>
      <c r="F62" s="512"/>
      <c r="G62" s="512"/>
      <c r="H62" s="512"/>
      <c r="I62" s="512"/>
      <c r="J62" s="512"/>
      <c r="K62" s="512"/>
      <c r="L62" s="512"/>
      <c r="M62" s="514"/>
      <c r="N62" s="1151"/>
      <c r="O62" s="1151"/>
      <c r="P62" s="2624"/>
      <c r="Q62" s="504"/>
    </row>
    <row r="63" spans="1:29">
      <c r="A63" s="527" t="s">
        <v>2583</v>
      </c>
      <c r="B63" s="528" t="s">
        <v>2549</v>
      </c>
      <c r="C63" s="529" t="str">
        <f>C9</f>
        <v>住宅</v>
      </c>
      <c r="D63" s="530"/>
      <c r="E63" s="530"/>
      <c r="F63" s="530"/>
      <c r="G63" s="530"/>
      <c r="H63" s="530"/>
      <c r="I63" s="530"/>
      <c r="J63" s="530"/>
      <c r="K63" s="531"/>
      <c r="L63" s="532"/>
      <c r="M63" s="533"/>
      <c r="N63" s="1152"/>
      <c r="O63" s="1152"/>
      <c r="P63" s="2626"/>
      <c r="Q63" s="504"/>
    </row>
    <row r="64" spans="1:29" ht="15.75" thickBot="1">
      <c r="A64" s="534"/>
      <c r="B64" s="535"/>
      <c r="C64" s="536">
        <v>100</v>
      </c>
      <c r="D64" s="536"/>
      <c r="E64" s="536"/>
      <c r="F64" s="536"/>
      <c r="G64" s="536"/>
      <c r="H64" s="536"/>
      <c r="I64" s="536"/>
      <c r="J64" s="536"/>
      <c r="K64" s="536"/>
      <c r="L64" s="536"/>
      <c r="M64" s="537"/>
      <c r="N64" s="1153"/>
      <c r="O64" s="1153"/>
      <c r="P64" s="2626"/>
      <c r="Q64" s="504"/>
    </row>
    <row r="65" spans="1:17" ht="27.75" thickTop="1">
      <c r="A65" s="534"/>
      <c r="B65" s="538" t="s">
        <v>2552</v>
      </c>
      <c r="C65" s="539" t="s">
        <v>2584</v>
      </c>
      <c r="D65" s="539" t="s">
        <v>2585</v>
      </c>
      <c r="E65" s="539" t="s">
        <v>2586</v>
      </c>
      <c r="F65" s="539" t="s">
        <v>2587</v>
      </c>
      <c r="G65" s="539" t="s">
        <v>2588</v>
      </c>
      <c r="H65" s="539" t="s">
        <v>2589</v>
      </c>
      <c r="I65" s="539" t="s">
        <v>2590</v>
      </c>
      <c r="J65" s="539"/>
      <c r="K65" s="540"/>
      <c r="L65" s="541"/>
      <c r="M65" s="542"/>
      <c r="N65" s="1152"/>
      <c r="O65" s="1152"/>
      <c r="P65" s="2626"/>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26"/>
      <c r="Q66" s="504"/>
    </row>
    <row r="67" spans="1:17" ht="15.75" thickTop="1">
      <c r="A67" s="534"/>
      <c r="B67" s="546" t="s">
        <v>2553</v>
      </c>
      <c r="C67" s="547" t="str">
        <f>C68&amp;"（含）"&amp;"-"&amp;D68</f>
        <v>0（含）-1</v>
      </c>
      <c r="D67" s="547" t="str">
        <f t="shared" ref="D67:L67" si="21">D68&amp;"（含）"&amp;"-"&amp;E68</f>
        <v>1（含）-2</v>
      </c>
      <c r="E67" s="547" t="str">
        <f t="shared" si="21"/>
        <v>2（含）-3</v>
      </c>
      <c r="F67" s="547" t="str">
        <f t="shared" si="21"/>
        <v>3（含）-4</v>
      </c>
      <c r="G67" s="547" t="str">
        <f t="shared" si="21"/>
        <v>4（含）-5</v>
      </c>
      <c r="H67" s="547" t="str">
        <f t="shared" si="21"/>
        <v>5（含）-6</v>
      </c>
      <c r="I67" s="547" t="str">
        <f t="shared" si="21"/>
        <v>6（含）-7</v>
      </c>
      <c r="J67" s="547" t="str">
        <f t="shared" si="21"/>
        <v>7（含）-8</v>
      </c>
      <c r="K67" s="547" t="str">
        <f>K68&amp;"（含）"&amp;"-"&amp;L68</f>
        <v>8（含）-9</v>
      </c>
      <c r="L67" s="547" t="str">
        <f t="shared" si="21"/>
        <v>9（含）-10</v>
      </c>
      <c r="M67" s="448" t="str">
        <f>M68&amp;"（含）"&amp;"-"&amp;P68</f>
        <v>10（含）-</v>
      </c>
      <c r="N67" s="1153"/>
      <c r="O67" s="1153"/>
      <c r="P67" s="2626"/>
      <c r="Q67" s="504"/>
    </row>
    <row r="68" spans="1:17" ht="15">
      <c r="A68" s="534"/>
      <c r="B68" s="548"/>
      <c r="C68" s="549">
        <v>0</v>
      </c>
      <c r="D68" s="549">
        <v>1</v>
      </c>
      <c r="E68" s="549">
        <v>2</v>
      </c>
      <c r="F68" s="549">
        <v>3</v>
      </c>
      <c r="G68" s="549">
        <v>4</v>
      </c>
      <c r="H68" s="549">
        <v>5</v>
      </c>
      <c r="I68" s="549">
        <v>6</v>
      </c>
      <c r="J68" s="549">
        <v>7</v>
      </c>
      <c r="K68" s="550">
        <v>8</v>
      </c>
      <c r="L68" s="550">
        <v>9</v>
      </c>
      <c r="M68" s="552">
        <v>10</v>
      </c>
      <c r="N68" s="1152"/>
      <c r="O68" s="1152"/>
      <c r="P68" s="2626"/>
      <c r="Q68" s="504"/>
    </row>
    <row r="69" spans="1:17" ht="15.75" thickBot="1">
      <c r="A69" s="534"/>
      <c r="B69" s="535"/>
      <c r="C69" s="544">
        <v>100</v>
      </c>
      <c r="D69" s="544">
        <f t="shared" ref="D69:M69" si="22">C69-$K11</f>
        <v>99</v>
      </c>
      <c r="E69" s="544">
        <f t="shared" si="22"/>
        <v>98</v>
      </c>
      <c r="F69" s="544">
        <f t="shared" si="22"/>
        <v>97</v>
      </c>
      <c r="G69" s="544">
        <f t="shared" si="22"/>
        <v>96</v>
      </c>
      <c r="H69" s="544">
        <f t="shared" si="22"/>
        <v>95</v>
      </c>
      <c r="I69" s="544">
        <f t="shared" si="22"/>
        <v>94</v>
      </c>
      <c r="J69" s="544">
        <f t="shared" si="22"/>
        <v>93</v>
      </c>
      <c r="K69" s="544">
        <f t="shared" si="22"/>
        <v>92</v>
      </c>
      <c r="L69" s="544">
        <f t="shared" si="22"/>
        <v>91</v>
      </c>
      <c r="M69" s="545">
        <f t="shared" si="22"/>
        <v>90</v>
      </c>
      <c r="N69" s="1153"/>
      <c r="O69" s="1153"/>
      <c r="P69" s="2626"/>
      <c r="Q69" s="504"/>
    </row>
    <row r="70" spans="1:17" s="471" customFormat="1" ht="15.75" thickTop="1">
      <c r="A70" s="553"/>
      <c r="B70" s="538">
        <f>B12</f>
        <v>111</v>
      </c>
      <c r="C70" s="554"/>
      <c r="D70" s="554"/>
      <c r="E70" s="554"/>
      <c r="F70" s="554"/>
      <c r="G70" s="554"/>
      <c r="H70" s="555"/>
      <c r="I70" s="555"/>
      <c r="J70" s="555"/>
      <c r="K70" s="555"/>
      <c r="L70" s="556"/>
      <c r="M70" s="557"/>
      <c r="N70" s="1154"/>
      <c r="O70" s="1154"/>
      <c r="P70" s="2627"/>
      <c r="Q70" s="559"/>
    </row>
    <row r="71" spans="1:17" s="471" customFormat="1" ht="15.75" thickBot="1">
      <c r="A71" s="553"/>
      <c r="B71" s="543"/>
      <c r="C71" s="560"/>
      <c r="D71" s="536"/>
      <c r="E71" s="536"/>
      <c r="F71" s="536"/>
      <c r="G71" s="536"/>
      <c r="H71" s="536"/>
      <c r="I71" s="536"/>
      <c r="J71" s="536"/>
      <c r="K71" s="536"/>
      <c r="L71" s="536"/>
      <c r="M71" s="537"/>
      <c r="N71" s="1153"/>
      <c r="O71" s="1153"/>
      <c r="P71" s="2627"/>
      <c r="Q71" s="559"/>
    </row>
    <row r="72" spans="1:17" s="471" customFormat="1" ht="15.75" thickTop="1">
      <c r="A72" s="553"/>
      <c r="B72" s="538">
        <f>B13</f>
        <v>111</v>
      </c>
      <c r="C72" s="554"/>
      <c r="D72" s="554"/>
      <c r="E72" s="554"/>
      <c r="F72" s="554"/>
      <c r="G72" s="554"/>
      <c r="H72" s="555"/>
      <c r="I72" s="555"/>
      <c r="J72" s="555"/>
      <c r="K72" s="555"/>
      <c r="L72" s="556"/>
      <c r="M72" s="557"/>
      <c r="N72" s="1154"/>
      <c r="O72" s="1154"/>
      <c r="P72" s="2628"/>
      <c r="Q72" s="561"/>
    </row>
    <row r="73" spans="1:17" s="471" customFormat="1" ht="15.75" thickBot="1">
      <c r="A73" s="553"/>
      <c r="B73" s="543"/>
      <c r="C73" s="560"/>
      <c r="D73" s="560"/>
      <c r="E73" s="560"/>
      <c r="F73" s="560"/>
      <c r="G73" s="560"/>
      <c r="H73" s="562"/>
      <c r="I73" s="562"/>
      <c r="J73" s="562"/>
      <c r="K73" s="562"/>
      <c r="L73" s="562"/>
      <c r="M73" s="563"/>
      <c r="N73" s="1154"/>
      <c r="O73" s="1154"/>
      <c r="P73" s="2627"/>
      <c r="Q73" s="559"/>
    </row>
    <row r="74" spans="1:17" s="471" customFormat="1" ht="15.75" thickTop="1">
      <c r="A74" s="553"/>
      <c r="B74" s="546">
        <f>B14</f>
        <v>111</v>
      </c>
      <c r="C74" s="554"/>
      <c r="D74" s="554"/>
      <c r="E74" s="554"/>
      <c r="F74" s="554"/>
      <c r="G74" s="523"/>
      <c r="H74" s="564"/>
      <c r="I74" s="564"/>
      <c r="J74" s="564"/>
      <c r="K74" s="564"/>
      <c r="L74" s="565"/>
      <c r="M74" s="566"/>
      <c r="N74" s="1154"/>
      <c r="O74" s="1154"/>
      <c r="P74" s="2629"/>
      <c r="Q74" s="559"/>
    </row>
    <row r="75" spans="1:17" s="471" customFormat="1" ht="15.75" thickBot="1">
      <c r="A75" s="568"/>
      <c r="B75" s="569"/>
      <c r="C75" s="570"/>
      <c r="D75" s="570"/>
      <c r="E75" s="570"/>
      <c r="F75" s="570"/>
      <c r="G75" s="570"/>
      <c r="H75" s="571"/>
      <c r="I75" s="571"/>
      <c r="J75" s="571"/>
      <c r="K75" s="571"/>
      <c r="L75" s="571"/>
      <c r="M75" s="572"/>
      <c r="N75" s="1154"/>
      <c r="O75" s="1154"/>
      <c r="P75" s="2627"/>
      <c r="Q75" s="559"/>
    </row>
    <row r="76" spans="1:17">
      <c r="A76" s="527" t="s">
        <v>2554</v>
      </c>
      <c r="B76" s="528" t="s">
        <v>2591</v>
      </c>
      <c r="C76" s="573" t="s">
        <v>2592</v>
      </c>
      <c r="D76" s="573" t="s">
        <v>2593</v>
      </c>
      <c r="E76" s="573" t="s">
        <v>2594</v>
      </c>
      <c r="F76" s="573" t="s">
        <v>2595</v>
      </c>
      <c r="G76" s="573" t="s">
        <v>2596</v>
      </c>
      <c r="H76" s="529"/>
      <c r="I76" s="529"/>
      <c r="J76" s="529"/>
      <c r="K76" s="574"/>
      <c r="L76" s="575"/>
      <c r="M76" s="576"/>
      <c r="N76" s="1152"/>
      <c r="O76" s="1152"/>
      <c r="P76" s="2630"/>
      <c r="Q76" s="504"/>
    </row>
    <row r="77" spans="1:17" ht="15.75" thickBot="1">
      <c r="A77" s="534"/>
      <c r="B77" s="543"/>
      <c r="C77" s="544">
        <v>100</v>
      </c>
      <c r="D77" s="544">
        <f>C77-$K15</f>
        <v>97</v>
      </c>
      <c r="E77" s="544">
        <f>D77-$K15</f>
        <v>94</v>
      </c>
      <c r="F77" s="544">
        <f>E77-$K15</f>
        <v>91</v>
      </c>
      <c r="G77" s="544">
        <f>F77-$K15</f>
        <v>88</v>
      </c>
      <c r="H77" s="544"/>
      <c r="I77" s="544"/>
      <c r="J77" s="544"/>
      <c r="K77" s="544"/>
      <c r="L77" s="544"/>
      <c r="M77" s="545"/>
      <c r="N77" s="1153"/>
      <c r="O77" s="1153"/>
      <c r="P77" s="2626"/>
      <c r="Q77" s="504"/>
    </row>
    <row r="78" spans="1:17" ht="15.75" thickTop="1">
      <c r="A78" s="534"/>
      <c r="B78" s="538" t="s">
        <v>2597</v>
      </c>
      <c r="C78" s="578" t="s">
        <v>2592</v>
      </c>
      <c r="D78" s="578" t="s">
        <v>2593</v>
      </c>
      <c r="E78" s="578" t="s">
        <v>2594</v>
      </c>
      <c r="F78" s="578" t="s">
        <v>2595</v>
      </c>
      <c r="G78" s="578" t="s">
        <v>2596</v>
      </c>
      <c r="H78" s="539"/>
      <c r="I78" s="539"/>
      <c r="J78" s="539"/>
      <c r="K78" s="540"/>
      <c r="L78" s="541"/>
      <c r="M78" s="542"/>
      <c r="N78" s="1152"/>
      <c r="O78" s="1152"/>
      <c r="P78" s="262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6"/>
      <c r="Q79" s="504"/>
    </row>
    <row r="80" spans="1:17" ht="15.75" thickTop="1">
      <c r="A80" s="534"/>
      <c r="B80" s="538" t="s">
        <v>2598</v>
      </c>
      <c r="C80" s="578" t="s">
        <v>2592</v>
      </c>
      <c r="D80" s="578" t="s">
        <v>2593</v>
      </c>
      <c r="E80" s="578" t="s">
        <v>2594</v>
      </c>
      <c r="F80" s="578" t="s">
        <v>2595</v>
      </c>
      <c r="G80" s="578" t="s">
        <v>2596</v>
      </c>
      <c r="H80" s="539"/>
      <c r="I80" s="539"/>
      <c r="J80" s="539"/>
      <c r="K80" s="540"/>
      <c r="L80" s="541"/>
      <c r="M80" s="542"/>
      <c r="N80" s="1152"/>
      <c r="O80" s="1152"/>
      <c r="P80" s="2626"/>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3"/>
      <c r="O81" s="1153"/>
      <c r="P81" s="2626"/>
      <c r="Q81" s="504"/>
    </row>
    <row r="82" spans="1:17" ht="15.75" thickTop="1">
      <c r="A82" s="534"/>
      <c r="B82" s="546" t="s">
        <v>2095</v>
      </c>
      <c r="C82" s="539" t="s">
        <v>2599</v>
      </c>
      <c r="D82" s="539" t="s">
        <v>2600</v>
      </c>
      <c r="E82" s="539" t="s">
        <v>2601</v>
      </c>
      <c r="F82" s="539" t="s">
        <v>2602</v>
      </c>
      <c r="G82" s="539" t="s">
        <v>2603</v>
      </c>
      <c r="H82" s="539"/>
      <c r="I82" s="539"/>
      <c r="J82" s="539"/>
      <c r="K82" s="539"/>
      <c r="L82" s="539"/>
      <c r="M82" s="1382"/>
      <c r="N82" s="1153"/>
      <c r="O82" s="1153"/>
      <c r="P82" s="2626"/>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26"/>
      <c r="Q83" s="504"/>
    </row>
    <row r="84" spans="1:17" ht="15.75" thickTop="1">
      <c r="A84" s="534"/>
      <c r="B84" s="538" t="s">
        <v>2604</v>
      </c>
      <c r="C84" s="578" t="s">
        <v>2592</v>
      </c>
      <c r="D84" s="578" t="s">
        <v>2593</v>
      </c>
      <c r="E84" s="578" t="s">
        <v>2594</v>
      </c>
      <c r="F84" s="578" t="s">
        <v>2595</v>
      </c>
      <c r="G84" s="578" t="s">
        <v>2596</v>
      </c>
      <c r="H84" s="539"/>
      <c r="I84" s="539"/>
      <c r="J84" s="539"/>
      <c r="K84" s="540"/>
      <c r="L84" s="541"/>
      <c r="M84" s="542"/>
      <c r="N84" s="1152"/>
      <c r="O84" s="1152"/>
      <c r="P84" s="2626"/>
      <c r="Q84" s="504"/>
    </row>
    <row r="85" spans="1:17" ht="15.75" thickBot="1">
      <c r="A85" s="534"/>
      <c r="B85" s="543"/>
      <c r="C85" s="544">
        <v>100</v>
      </c>
      <c r="D85" s="544">
        <f>C85-$K23</f>
        <v>99</v>
      </c>
      <c r="E85" s="544">
        <f>D85-$K23</f>
        <v>98</v>
      </c>
      <c r="F85" s="544">
        <f>E85-$K23</f>
        <v>97</v>
      </c>
      <c r="G85" s="544">
        <f>F85-$K23</f>
        <v>96</v>
      </c>
      <c r="H85" s="544"/>
      <c r="I85" s="544"/>
      <c r="J85" s="544"/>
      <c r="K85" s="544"/>
      <c r="L85" s="544"/>
      <c r="M85" s="545"/>
      <c r="N85" s="1153"/>
      <c r="O85" s="1153"/>
      <c r="P85" s="2626"/>
      <c r="Q85" s="504"/>
    </row>
    <row r="86" spans="1:17" s="117" customFormat="1" ht="15.75" thickTop="1">
      <c r="A86" s="579"/>
      <c r="B86" s="538" t="s">
        <v>2605</v>
      </c>
      <c r="C86" s="554"/>
      <c r="D86" s="554"/>
      <c r="E86" s="554"/>
      <c r="F86" s="554"/>
      <c r="G86" s="554"/>
      <c r="H86" s="554"/>
      <c r="I86" s="554"/>
      <c r="J86" s="554"/>
      <c r="K86" s="554"/>
      <c r="L86" s="580"/>
      <c r="M86" s="581"/>
      <c r="N86" s="1151"/>
      <c r="O86" s="1151"/>
      <c r="P86" s="2626"/>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26"/>
      <c r="Q87" s="504"/>
    </row>
    <row r="88" spans="1:17" s="117" customFormat="1" ht="15.75" thickTop="1">
      <c r="A88" s="579"/>
      <c r="B88" s="538" t="s">
        <v>2606</v>
      </c>
      <c r="C88" s="554"/>
      <c r="D88" s="554"/>
      <c r="E88" s="554"/>
      <c r="F88" s="2631"/>
      <c r="G88" s="554"/>
      <c r="H88" s="554"/>
      <c r="I88" s="554"/>
      <c r="J88" s="554"/>
      <c r="K88" s="554"/>
      <c r="L88" s="554"/>
      <c r="M88" s="581"/>
      <c r="N88" s="1151"/>
      <c r="O88" s="1151"/>
      <c r="P88" s="2626"/>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26"/>
      <c r="Q89" s="504"/>
    </row>
    <row r="90" spans="1:17" s="471" customFormat="1" ht="15.75" thickTop="1">
      <c r="A90" s="553"/>
      <c r="B90" s="538">
        <f>B27</f>
        <v>111</v>
      </c>
      <c r="C90" s="554"/>
      <c r="D90" s="554"/>
      <c r="E90" s="554"/>
      <c r="F90" s="554"/>
      <c r="G90" s="554"/>
      <c r="H90" s="555"/>
      <c r="I90" s="555"/>
      <c r="J90" s="555"/>
      <c r="K90" s="555"/>
      <c r="L90" s="556"/>
      <c r="M90" s="557"/>
      <c r="N90" s="1154"/>
      <c r="O90" s="1154"/>
      <c r="P90" s="2627"/>
      <c r="Q90" s="559"/>
    </row>
    <row r="91" spans="1:17" s="471" customFormat="1" ht="15.75" thickBot="1">
      <c r="A91" s="553"/>
      <c r="B91" s="543"/>
      <c r="C91" s="560"/>
      <c r="D91" s="560"/>
      <c r="E91" s="560"/>
      <c r="F91" s="560"/>
      <c r="G91" s="560"/>
      <c r="H91" s="562"/>
      <c r="I91" s="562"/>
      <c r="J91" s="562"/>
      <c r="K91" s="562"/>
      <c r="L91" s="562"/>
      <c r="M91" s="563"/>
      <c r="N91" s="1154"/>
      <c r="O91" s="1154"/>
      <c r="P91" s="2627"/>
      <c r="Q91" s="559"/>
    </row>
    <row r="92" spans="1:17" ht="15.75" thickTop="1">
      <c r="A92" s="534"/>
      <c r="B92" s="538">
        <f>B28</f>
        <v>111</v>
      </c>
      <c r="C92" s="554"/>
      <c r="D92" s="554"/>
      <c r="E92" s="554"/>
      <c r="F92" s="554"/>
      <c r="G92" s="583"/>
      <c r="H92" s="583"/>
      <c r="I92" s="583"/>
      <c r="J92" s="583"/>
      <c r="K92" s="584"/>
      <c r="L92" s="585"/>
      <c r="M92" s="586"/>
      <c r="N92" s="1152"/>
      <c r="O92" s="1152"/>
      <c r="P92" s="2626"/>
      <c r="Q92" s="504"/>
    </row>
    <row r="93" spans="1:17" ht="15.75" thickBot="1">
      <c r="A93" s="534"/>
      <c r="B93" s="543"/>
      <c r="C93" s="560"/>
      <c r="D93" s="536"/>
      <c r="E93" s="536"/>
      <c r="F93" s="536"/>
      <c r="G93" s="536"/>
      <c r="H93" s="536"/>
      <c r="I93" s="536"/>
      <c r="J93" s="536"/>
      <c r="K93" s="536"/>
      <c r="L93" s="536"/>
      <c r="M93" s="537"/>
      <c r="N93" s="1153"/>
      <c r="O93" s="1153"/>
      <c r="P93" s="2626"/>
      <c r="Q93" s="504"/>
    </row>
    <row r="94" spans="1:17" ht="15.75" thickTop="1">
      <c r="A94" s="534"/>
      <c r="B94" s="538">
        <f>B29</f>
        <v>111</v>
      </c>
      <c r="C94" s="554"/>
      <c r="D94" s="554"/>
      <c r="E94" s="554"/>
      <c r="F94" s="554"/>
      <c r="G94" s="583"/>
      <c r="H94" s="583"/>
      <c r="I94" s="583"/>
      <c r="J94" s="583"/>
      <c r="K94" s="584"/>
      <c r="L94" s="585"/>
      <c r="M94" s="586"/>
      <c r="N94" s="1152"/>
      <c r="O94" s="1152"/>
      <c r="P94" s="2626"/>
      <c r="Q94" s="504"/>
    </row>
    <row r="95" spans="1:17" ht="15.75" thickBot="1">
      <c r="A95" s="534"/>
      <c r="B95" s="543"/>
      <c r="C95" s="560"/>
      <c r="D95" s="560"/>
      <c r="E95" s="560"/>
      <c r="F95" s="560"/>
      <c r="G95" s="536"/>
      <c r="H95" s="536"/>
      <c r="I95" s="536"/>
      <c r="J95" s="536"/>
      <c r="K95" s="536"/>
      <c r="L95" s="536"/>
      <c r="M95" s="537"/>
      <c r="N95" s="1153"/>
      <c r="O95" s="1153"/>
      <c r="P95" s="2626"/>
      <c r="Q95" s="504"/>
    </row>
    <row r="96" spans="1:17" ht="15.75" thickTop="1">
      <c r="A96" s="534"/>
      <c r="B96" s="538">
        <f>B30</f>
        <v>111</v>
      </c>
      <c r="C96" s="554"/>
      <c r="D96" s="554"/>
      <c r="E96" s="554"/>
      <c r="F96" s="554"/>
      <c r="G96" s="583"/>
      <c r="H96" s="583"/>
      <c r="I96" s="583"/>
      <c r="J96" s="583"/>
      <c r="K96" s="584"/>
      <c r="L96" s="585"/>
      <c r="M96" s="586"/>
      <c r="N96" s="1152"/>
      <c r="O96" s="1152"/>
      <c r="P96" s="2626"/>
      <c r="Q96" s="504"/>
    </row>
    <row r="97" spans="1:17" ht="15.75" thickBot="1">
      <c r="A97" s="534"/>
      <c r="B97" s="543"/>
      <c r="C97" s="570"/>
      <c r="D97" s="570"/>
      <c r="E97" s="570"/>
      <c r="F97" s="570"/>
      <c r="G97" s="536"/>
      <c r="H97" s="536"/>
      <c r="I97" s="536"/>
      <c r="J97" s="536"/>
      <c r="K97" s="536"/>
      <c r="L97" s="536"/>
      <c r="M97" s="537"/>
      <c r="N97" s="1153"/>
      <c r="O97" s="1153"/>
      <c r="P97" s="2626"/>
      <c r="Q97" s="504"/>
    </row>
    <row r="98" spans="1:17" ht="15.75" thickTop="1">
      <c r="A98" s="534"/>
      <c r="B98" s="546">
        <f>B31</f>
        <v>111</v>
      </c>
      <c r="C98" s="587"/>
      <c r="D98" s="587"/>
      <c r="E98" s="587"/>
      <c r="F98" s="587"/>
      <c r="G98" s="587"/>
      <c r="H98" s="587"/>
      <c r="I98" s="587"/>
      <c r="J98" s="587"/>
      <c r="K98" s="588"/>
      <c r="L98" s="589"/>
      <c r="M98" s="590"/>
      <c r="N98" s="1152"/>
      <c r="O98" s="1152"/>
      <c r="P98" s="2626"/>
      <c r="Q98" s="504"/>
    </row>
    <row r="99" spans="1:17" ht="15.75" thickBot="1">
      <c r="A99" s="2632"/>
      <c r="B99" s="569"/>
      <c r="C99" s="591"/>
      <c r="D99" s="591"/>
      <c r="E99" s="591"/>
      <c r="F99" s="591"/>
      <c r="G99" s="591"/>
      <c r="H99" s="591"/>
      <c r="I99" s="591"/>
      <c r="J99" s="591"/>
      <c r="K99" s="591"/>
      <c r="L99" s="591"/>
      <c r="M99" s="592"/>
      <c r="N99" s="1153"/>
      <c r="O99" s="1153"/>
      <c r="P99" s="2626"/>
      <c r="Q99" s="504"/>
    </row>
    <row r="100" spans="1:17">
      <c r="A100" s="527" t="s">
        <v>2558</v>
      </c>
      <c r="B100" s="528" t="s">
        <v>2607</v>
      </c>
      <c r="C100" s="2990" t="s">
        <v>3204</v>
      </c>
      <c r="D100" s="2990" t="s">
        <v>3205</v>
      </c>
      <c r="E100" s="2990" t="s">
        <v>3206</v>
      </c>
      <c r="F100" s="2990" t="s">
        <v>3207</v>
      </c>
      <c r="G100" s="2990" t="s">
        <v>3208</v>
      </c>
      <c r="H100" s="530"/>
      <c r="I100" s="530"/>
      <c r="J100" s="530"/>
      <c r="K100" s="531"/>
      <c r="L100" s="532"/>
      <c r="M100" s="533"/>
      <c r="N100" s="1152"/>
      <c r="O100" s="1152"/>
      <c r="P100" s="2626"/>
      <c r="Q100" s="504"/>
    </row>
    <row r="101" spans="1:17" ht="15.75" thickBot="1">
      <c r="A101" s="534"/>
      <c r="B101" s="543"/>
      <c r="C101" s="544">
        <v>100</v>
      </c>
      <c r="D101" s="544">
        <f t="shared" ref="D101:M101" si="26">C101-$K32</f>
        <v>99</v>
      </c>
      <c r="E101" s="544">
        <f t="shared" si="26"/>
        <v>98</v>
      </c>
      <c r="F101" s="544">
        <f t="shared" si="26"/>
        <v>97</v>
      </c>
      <c r="G101" s="544">
        <f t="shared" si="26"/>
        <v>96</v>
      </c>
      <c r="H101" s="544">
        <f t="shared" si="26"/>
        <v>95</v>
      </c>
      <c r="I101" s="544">
        <f t="shared" si="26"/>
        <v>94</v>
      </c>
      <c r="J101" s="544">
        <f t="shared" si="26"/>
        <v>93</v>
      </c>
      <c r="K101" s="544">
        <f t="shared" si="26"/>
        <v>92</v>
      </c>
      <c r="L101" s="544">
        <f t="shared" si="26"/>
        <v>91</v>
      </c>
      <c r="M101" s="544">
        <f t="shared" si="26"/>
        <v>90</v>
      </c>
      <c r="N101" s="1153"/>
      <c r="O101" s="1153"/>
      <c r="P101" s="2626"/>
      <c r="Q101" s="504"/>
    </row>
    <row r="102" spans="1:17" ht="15.75" thickTop="1">
      <c r="A102" s="534"/>
      <c r="B102" s="538" t="s">
        <v>2608</v>
      </c>
      <c r="C102" s="578" t="str">
        <f>C103&amp;"(含)"&amp;"-"&amp;D103</f>
        <v>0(含)-300</v>
      </c>
      <c r="D102" s="578" t="str">
        <f t="shared" ref="D102:L102" si="27">D103&amp;"(含)"&amp;"-"&amp;E103</f>
        <v>300(含)-600</v>
      </c>
      <c r="E102" s="578" t="str">
        <f t="shared" si="27"/>
        <v>600(含)-900</v>
      </c>
      <c r="F102" s="578" t="str">
        <f t="shared" si="27"/>
        <v>900(含)-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26"/>
      <c r="Q102" s="504"/>
    </row>
    <row r="103" spans="1:17" s="471" customFormat="1">
      <c r="A103" s="593"/>
      <c r="B103" s="594"/>
      <c r="C103" s="595">
        <v>0</v>
      </c>
      <c r="D103" s="595">
        <v>300</v>
      </c>
      <c r="E103" s="595">
        <v>600</v>
      </c>
      <c r="F103" s="595">
        <v>900</v>
      </c>
      <c r="G103" s="595"/>
      <c r="H103" s="595"/>
      <c r="I103" s="595"/>
      <c r="J103" s="596"/>
      <c r="K103" s="596"/>
      <c r="L103" s="597"/>
      <c r="M103" s="598"/>
      <c r="N103" s="1154"/>
      <c r="O103" s="1154"/>
      <c r="P103" s="2627"/>
      <c r="Q103" s="559"/>
    </row>
    <row r="104" spans="1:17" s="471" customFormat="1" ht="15.75" thickBot="1">
      <c r="A104" s="553"/>
      <c r="B104" s="543"/>
      <c r="C104" s="560">
        <v>100</v>
      </c>
      <c r="D104" s="536">
        <v>101</v>
      </c>
      <c r="E104" s="536">
        <v>102</v>
      </c>
      <c r="F104" s="536">
        <v>103</v>
      </c>
      <c r="G104" s="536"/>
      <c r="H104" s="536"/>
      <c r="I104" s="536"/>
      <c r="J104" s="536"/>
      <c r="K104" s="536"/>
      <c r="L104" s="536"/>
      <c r="M104" s="536"/>
      <c r="N104" s="1153"/>
      <c r="O104" s="1153"/>
      <c r="P104" s="2627"/>
      <c r="Q104" s="559"/>
    </row>
    <row r="105" spans="1:17" ht="15" thickTop="1">
      <c r="A105" s="599"/>
      <c r="B105" s="538" t="s">
        <v>2609</v>
      </c>
      <c r="C105" s="2991" t="s">
        <v>3209</v>
      </c>
      <c r="D105" s="554"/>
      <c r="E105" s="583"/>
      <c r="F105" s="583"/>
      <c r="G105" s="583"/>
      <c r="H105" s="583"/>
      <c r="I105" s="583"/>
      <c r="J105" s="583"/>
      <c r="K105" s="584"/>
      <c r="L105" s="585"/>
      <c r="M105" s="586"/>
      <c r="N105" s="1152"/>
      <c r="O105" s="1152"/>
      <c r="P105" s="2626"/>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26"/>
      <c r="Q106" s="504"/>
    </row>
    <row r="107" spans="1:17" ht="15" thickTop="1">
      <c r="A107" s="599"/>
      <c r="B107" s="538" t="s">
        <v>2610</v>
      </c>
      <c r="C107" s="583"/>
      <c r="D107" s="583"/>
      <c r="E107" s="583"/>
      <c r="F107" s="583"/>
      <c r="G107" s="583"/>
      <c r="H107" s="583"/>
      <c r="I107" s="583"/>
      <c r="J107" s="583"/>
      <c r="K107" s="584"/>
      <c r="L107" s="585"/>
      <c r="M107" s="586"/>
      <c r="N107" s="1152"/>
      <c r="O107" s="1152"/>
      <c r="P107" s="2626"/>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26"/>
      <c r="Q108" s="504"/>
    </row>
    <row r="109" spans="1:17" ht="15" thickTop="1">
      <c r="A109" s="599"/>
      <c r="B109" s="538" t="s">
        <v>2611</v>
      </c>
      <c r="C109" s="2991" t="s">
        <v>3210</v>
      </c>
      <c r="D109" s="2991" t="s">
        <v>3211</v>
      </c>
      <c r="E109" s="2991" t="s">
        <v>3212</v>
      </c>
      <c r="F109" s="583" t="s">
        <v>3213</v>
      </c>
      <c r="G109" s="583"/>
      <c r="H109" s="583"/>
      <c r="I109" s="583"/>
      <c r="J109" s="583"/>
      <c r="K109" s="584"/>
      <c r="L109" s="585"/>
      <c r="M109" s="586"/>
      <c r="N109" s="1152"/>
      <c r="O109" s="1152"/>
      <c r="P109" s="2626"/>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26"/>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27"/>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27"/>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27"/>
      <c r="Q113" s="559"/>
    </row>
    <row r="114" spans="1:17" ht="15" thickTop="1">
      <c r="A114" s="599"/>
      <c r="B114" s="538" t="s">
        <v>2612</v>
      </c>
      <c r="C114" s="2991" t="s">
        <v>3219</v>
      </c>
      <c r="D114" s="554"/>
      <c r="E114" s="583"/>
      <c r="F114" s="583"/>
      <c r="G114" s="583"/>
      <c r="H114" s="583"/>
      <c r="I114" s="583"/>
      <c r="J114" s="583"/>
      <c r="K114" s="584"/>
      <c r="L114" s="585"/>
      <c r="M114" s="586"/>
      <c r="N114" s="1152"/>
      <c r="O114" s="1152"/>
      <c r="P114" s="2626"/>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26"/>
      <c r="Q115" s="504"/>
    </row>
    <row r="116" spans="1:17" ht="15" thickTop="1">
      <c r="A116" s="599"/>
      <c r="B116" s="538" t="s">
        <v>2613</v>
      </c>
      <c r="C116" s="554"/>
      <c r="D116" s="554"/>
      <c r="E116" s="554"/>
      <c r="F116" s="554"/>
      <c r="G116" s="554"/>
      <c r="H116" s="583"/>
      <c r="I116" s="583"/>
      <c r="J116" s="583"/>
      <c r="K116" s="584"/>
      <c r="L116" s="585"/>
      <c r="M116" s="586"/>
      <c r="N116" s="1152"/>
      <c r="O116" s="1152"/>
      <c r="P116" s="262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6"/>
      <c r="Q117" s="504"/>
    </row>
    <row r="118" spans="1:17" ht="15" thickTop="1">
      <c r="A118" s="599"/>
      <c r="B118" s="538" t="s">
        <v>2614</v>
      </c>
      <c r="C118" s="583"/>
      <c r="D118" s="583"/>
      <c r="E118" s="583"/>
      <c r="F118" s="583"/>
      <c r="G118" s="583"/>
      <c r="H118" s="583"/>
      <c r="I118" s="583"/>
      <c r="J118" s="583"/>
      <c r="K118" s="584"/>
      <c r="L118" s="585"/>
      <c r="M118" s="586"/>
      <c r="N118" s="1152"/>
      <c r="O118" s="1152"/>
      <c r="P118" s="2626"/>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26"/>
      <c r="Q119" s="504"/>
    </row>
    <row r="120" spans="1:17" s="471" customFormat="1" ht="28.5" thickTop="1">
      <c r="A120" s="593"/>
      <c r="B120" s="538" t="s">
        <v>2569</v>
      </c>
      <c r="C120" s="554"/>
      <c r="D120" s="554"/>
      <c r="E120" s="554"/>
      <c r="F120" s="554"/>
      <c r="G120" s="554"/>
      <c r="H120" s="554"/>
      <c r="I120" s="554"/>
      <c r="J120" s="554"/>
      <c r="K120" s="554"/>
      <c r="L120" s="580"/>
      <c r="M120" s="581"/>
      <c r="N120" s="1154"/>
      <c r="O120" s="1154"/>
      <c r="P120" s="2627"/>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27"/>
      <c r="Q121" s="559"/>
    </row>
    <row r="122" spans="1:17" ht="15" thickTop="1">
      <c r="A122" s="599"/>
      <c r="B122" s="538" t="s">
        <v>2615</v>
      </c>
      <c r="C122" s="2991" t="s">
        <v>3210</v>
      </c>
      <c r="D122" s="2991" t="s">
        <v>3211</v>
      </c>
      <c r="E122" s="2991" t="s">
        <v>3212</v>
      </c>
      <c r="F122" s="583" t="s">
        <v>3213</v>
      </c>
      <c r="G122" s="583"/>
      <c r="H122" s="583"/>
      <c r="I122" s="583"/>
      <c r="J122" s="583"/>
      <c r="K122" s="584"/>
      <c r="L122" s="585"/>
      <c r="M122" s="586"/>
      <c r="N122" s="1152"/>
      <c r="O122" s="1152"/>
      <c r="P122" s="2626"/>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26"/>
      <c r="Q123" s="504"/>
    </row>
    <row r="124" spans="1:17" ht="15" thickTop="1">
      <c r="A124" s="599"/>
      <c r="B124" s="538" t="s">
        <v>2616</v>
      </c>
      <c r="C124" s="578" t="s">
        <v>2592</v>
      </c>
      <c r="D124" s="578" t="s">
        <v>2593</v>
      </c>
      <c r="E124" s="578" t="s">
        <v>2594</v>
      </c>
      <c r="F124" s="578" t="s">
        <v>2595</v>
      </c>
      <c r="G124" s="578" t="s">
        <v>2596</v>
      </c>
      <c r="H124" s="539"/>
      <c r="I124" s="539"/>
      <c r="J124" s="539"/>
      <c r="K124" s="540"/>
      <c r="L124" s="541"/>
      <c r="M124" s="542"/>
      <c r="N124" s="1152"/>
      <c r="O124" s="1152"/>
      <c r="P124" s="262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6"/>
      <c r="Q125" s="504"/>
    </row>
    <row r="126" spans="1:17" s="471" customFormat="1" ht="15" thickTop="1">
      <c r="A126" s="593"/>
      <c r="B126" s="538" t="str">
        <f>B44</f>
        <v>单价是否含车库</v>
      </c>
      <c r="C126" s="2991" t="s">
        <v>3214</v>
      </c>
      <c r="D126" s="2991" t="s">
        <v>3215</v>
      </c>
      <c r="E126" s="554"/>
      <c r="F126" s="554"/>
      <c r="G126" s="554"/>
      <c r="H126" s="555"/>
      <c r="I126" s="555"/>
      <c r="J126" s="555"/>
      <c r="K126" s="555"/>
      <c r="L126" s="556"/>
      <c r="M126" s="557"/>
      <c r="N126" s="1154"/>
      <c r="O126" s="1154"/>
      <c r="P126" s="2627"/>
      <c r="Q126" s="559"/>
    </row>
    <row r="127" spans="1:17" s="471" customFormat="1" ht="15.75" thickBot="1">
      <c r="A127" s="553"/>
      <c r="B127" s="543"/>
      <c r="C127" s="560">
        <v>100</v>
      </c>
      <c r="D127" s="536">
        <v>110</v>
      </c>
      <c r="E127" s="536"/>
      <c r="F127" s="536"/>
      <c r="G127" s="560"/>
      <c r="H127" s="562"/>
      <c r="I127" s="562"/>
      <c r="J127" s="562"/>
      <c r="K127" s="562"/>
      <c r="L127" s="562"/>
      <c r="M127" s="563"/>
      <c r="N127" s="1154"/>
      <c r="O127" s="1154"/>
      <c r="P127" s="2627"/>
      <c r="Q127" s="559"/>
    </row>
    <row r="128" spans="1:17" ht="15" thickTop="1">
      <c r="A128" s="599"/>
      <c r="B128" s="538">
        <f>B45</f>
        <v>111</v>
      </c>
      <c r="C128" s="554"/>
      <c r="D128" s="554"/>
      <c r="E128" s="554"/>
      <c r="F128" s="554"/>
      <c r="G128" s="583"/>
      <c r="H128" s="583"/>
      <c r="I128" s="583"/>
      <c r="J128" s="583"/>
      <c r="K128" s="584"/>
      <c r="L128" s="585"/>
      <c r="M128" s="586"/>
      <c r="N128" s="1152"/>
      <c r="O128" s="1152"/>
      <c r="P128" s="2626"/>
      <c r="Q128" s="504"/>
    </row>
    <row r="129" spans="1:17" ht="15.75" thickBot="1">
      <c r="A129" s="534"/>
      <c r="B129" s="543"/>
      <c r="C129" s="560"/>
      <c r="D129" s="560"/>
      <c r="E129" s="560"/>
      <c r="F129" s="560"/>
      <c r="G129" s="536"/>
      <c r="H129" s="536"/>
      <c r="I129" s="536"/>
      <c r="J129" s="536"/>
      <c r="K129" s="536"/>
      <c r="L129" s="536"/>
      <c r="M129" s="537"/>
      <c r="N129" s="1153"/>
      <c r="O129" s="1153"/>
      <c r="P129" s="2626"/>
      <c r="Q129" s="504"/>
    </row>
    <row r="130" spans="1:17" ht="15" thickTop="1">
      <c r="A130" s="599"/>
      <c r="B130" s="546">
        <f>B46</f>
        <v>111</v>
      </c>
      <c r="C130" s="554"/>
      <c r="D130" s="554"/>
      <c r="E130" s="554"/>
      <c r="F130" s="554"/>
      <c r="G130" s="587"/>
      <c r="H130" s="587"/>
      <c r="I130" s="587"/>
      <c r="J130" s="587"/>
      <c r="K130" s="523"/>
      <c r="L130" s="524"/>
      <c r="M130" s="590"/>
      <c r="N130" s="1152"/>
      <c r="O130" s="1152"/>
      <c r="P130" s="2626"/>
      <c r="Q130" s="504"/>
    </row>
    <row r="131" spans="1:17" ht="15.75" thickBot="1">
      <c r="A131" s="2632"/>
      <c r="B131" s="569"/>
      <c r="C131" s="570"/>
      <c r="D131" s="570"/>
      <c r="E131" s="570"/>
      <c r="F131" s="570"/>
      <c r="G131" s="591"/>
      <c r="H131" s="591"/>
      <c r="I131" s="591"/>
      <c r="J131" s="591"/>
      <c r="K131" s="591"/>
      <c r="L131" s="591"/>
      <c r="M131" s="592"/>
      <c r="N131" s="1153"/>
      <c r="O131" s="1153"/>
      <c r="P131" s="2626"/>
      <c r="Q131" s="504"/>
    </row>
    <row r="136" spans="1:17" ht="15" thickBot="1">
      <c r="B136" s="2633" t="s">
        <v>2617</v>
      </c>
    </row>
    <row r="137" spans="1:17" ht="15">
      <c r="B137" s="2634" t="s">
        <v>2618</v>
      </c>
      <c r="C137" s="2635"/>
      <c r="D137" s="2635"/>
      <c r="E137" s="2635"/>
      <c r="F137" s="2635"/>
      <c r="G137" s="2636"/>
      <c r="H137" s="2637"/>
      <c r="I137" s="2638" t="s">
        <v>2619</v>
      </c>
      <c r="J137" s="2635"/>
      <c r="K137" s="2639"/>
    </row>
    <row r="138" spans="1:17" ht="15">
      <c r="B138" s="2640"/>
      <c r="C138" s="146" t="s">
        <v>2620</v>
      </c>
      <c r="D138" s="146" t="s">
        <v>2621</v>
      </c>
      <c r="E138" s="2641" t="s">
        <v>2622</v>
      </c>
      <c r="F138" s="2642" t="s">
        <v>2623</v>
      </c>
      <c r="G138" s="146" t="s">
        <v>2621</v>
      </c>
      <c r="H138" s="147" t="s">
        <v>2622</v>
      </c>
      <c r="I138" s="2643"/>
      <c r="J138" s="146" t="s">
        <v>2624</v>
      </c>
      <c r="K138" s="147" t="s">
        <v>2625</v>
      </c>
    </row>
    <row r="139" spans="1:17" ht="15">
      <c r="B139" s="1084">
        <v>6</v>
      </c>
      <c r="C139" s="1085">
        <v>96</v>
      </c>
      <c r="D139" s="2644" t="s">
        <v>2626</v>
      </c>
      <c r="E139" s="1086">
        <v>100</v>
      </c>
      <c r="F139" s="1087">
        <v>102.5</v>
      </c>
      <c r="G139" s="2644" t="s">
        <v>2626</v>
      </c>
      <c r="H139" s="1088">
        <v>105</v>
      </c>
      <c r="I139" s="2645" t="s">
        <v>2627</v>
      </c>
      <c r="J139" s="1085">
        <v>20</v>
      </c>
      <c r="K139" s="1089">
        <f>C145/(J139-2)</f>
        <v>4.0555555555555553E-3</v>
      </c>
    </row>
    <row r="140" spans="1:17" ht="15">
      <c r="B140" s="1090">
        <v>5</v>
      </c>
      <c r="C140" s="1091">
        <v>100</v>
      </c>
      <c r="D140" s="1091"/>
      <c r="E140" s="1092"/>
      <c r="F140" s="1093">
        <v>102</v>
      </c>
      <c r="G140" s="1091"/>
      <c r="H140" s="1094"/>
      <c r="I140" s="2646" t="s">
        <v>2628</v>
      </c>
      <c r="J140" s="315">
        <f>ROUNDUP((J139-1)/2,0)</f>
        <v>10</v>
      </c>
      <c r="K140" s="1095">
        <v>100</v>
      </c>
    </row>
    <row r="141" spans="1:17" ht="15">
      <c r="B141" s="1090">
        <v>4</v>
      </c>
      <c r="C141" s="1091">
        <v>102</v>
      </c>
      <c r="D141" s="1091"/>
      <c r="E141" s="1092"/>
      <c r="F141" s="1093">
        <v>101.5</v>
      </c>
      <c r="G141" s="1091"/>
      <c r="H141" s="1094"/>
      <c r="I141" s="2646" t="s">
        <v>2629</v>
      </c>
      <c r="J141" s="315">
        <v>1</v>
      </c>
      <c r="K141" s="1096">
        <f>ROUND(100+(J141-J140)*K139*100,1)</f>
        <v>96.4</v>
      </c>
    </row>
    <row r="142" spans="1:17" ht="15">
      <c r="B142" s="1090">
        <v>3</v>
      </c>
      <c r="C142" s="1091">
        <v>103</v>
      </c>
      <c r="D142" s="1091"/>
      <c r="E142" s="1092"/>
      <c r="F142" s="1093">
        <v>101</v>
      </c>
      <c r="G142" s="1091"/>
      <c r="H142" s="1094"/>
      <c r="I142" s="2646" t="s">
        <v>2630</v>
      </c>
      <c r="J142" s="315">
        <f>J139</f>
        <v>20</v>
      </c>
      <c r="K142" s="1097">
        <v>95</v>
      </c>
    </row>
    <row r="143" spans="1:17" ht="15">
      <c r="B143" s="1090">
        <v>2</v>
      </c>
      <c r="C143" s="1091">
        <v>100</v>
      </c>
      <c r="D143" s="1091"/>
      <c r="E143" s="1092"/>
      <c r="F143" s="1093">
        <v>100.5</v>
      </c>
      <c r="G143" s="1091"/>
      <c r="H143" s="1094"/>
      <c r="I143" s="2646" t="s">
        <v>2631</v>
      </c>
      <c r="J143" s="1091">
        <v>15</v>
      </c>
      <c r="K143" s="1096">
        <f>ROUND(100+(J143-J140)*K139*100,1)</f>
        <v>102</v>
      </c>
    </row>
    <row r="144" spans="1:17" ht="15">
      <c r="B144" s="1090">
        <v>1</v>
      </c>
      <c r="C144" s="1091">
        <v>98</v>
      </c>
      <c r="D144" s="2647" t="s">
        <v>2632</v>
      </c>
      <c r="E144" s="1092">
        <v>102</v>
      </c>
      <c r="F144" s="1098">
        <v>100</v>
      </c>
      <c r="G144" s="2647" t="s">
        <v>2632</v>
      </c>
      <c r="H144" s="1094">
        <v>105</v>
      </c>
      <c r="I144" s="2646" t="s">
        <v>2631</v>
      </c>
      <c r="J144" s="1091">
        <v>18</v>
      </c>
      <c r="K144" s="1096">
        <f>ROUND(100+(J144-J140)*K139*100,1)</f>
        <v>103.2</v>
      </c>
    </row>
    <row r="145" spans="2:11" ht="15.75" thickBot="1">
      <c r="B145" s="2648" t="s">
        <v>2633</v>
      </c>
      <c r="C145" s="1099">
        <f>ROUND(MAX(C139:C144)/MIN(C139:C144)-1,3)</f>
        <v>7.2999999999999995E-2</v>
      </c>
      <c r="D145" s="1100"/>
      <c r="E145" s="1100"/>
      <c r="F145" s="2649" t="s">
        <v>2634</v>
      </c>
      <c r="G145" s="2650"/>
      <c r="H145" s="2651"/>
      <c r="I145" s="2652" t="s">
        <v>2631</v>
      </c>
      <c r="J145" s="1101">
        <v>8</v>
      </c>
      <c r="K145" s="1102">
        <f>ROUND(100+(J145-J140)*K139*100,1)</f>
        <v>99.2</v>
      </c>
    </row>
    <row r="147" spans="2:11">
      <c r="B147" s="2633" t="s">
        <v>2635</v>
      </c>
    </row>
    <row r="148" spans="2:11">
      <c r="B148" s="2633" t="s">
        <v>2636</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8" priority="15" stopIfTrue="1" operator="containsText" text="超过">
      <formula>NOT(ISERROR(SEARCH("超过",F52)))</formula>
    </cfRule>
  </conditionalFormatting>
  <conditionalFormatting sqref="J54">
    <cfRule type="containsText" dxfId="127" priority="14" stopIfTrue="1" operator="containsText" text="超过">
      <formula>NOT(ISERROR(SEARCH("超过",J54)))</formula>
    </cfRule>
  </conditionalFormatting>
  <conditionalFormatting sqref="H54">
    <cfRule type="containsText" dxfId="126" priority="13" stopIfTrue="1" operator="containsText" text="超过">
      <formula>NOT(ISERROR(SEARCH("超过",H54)))</formula>
    </cfRule>
  </conditionalFormatting>
  <conditionalFormatting sqref="F54">
    <cfRule type="containsText" dxfId="125" priority="12" stopIfTrue="1" operator="containsText" text="超过">
      <formula>NOT(ISERROR(SEARCH("超过",F54)))</formula>
    </cfRule>
  </conditionalFormatting>
  <conditionalFormatting sqref="F53 H53 J53">
    <cfRule type="containsText" dxfId="124" priority="11" stopIfTrue="1" operator="containsText" text="超过">
      <formula>NOT(ISERROR(SEARCH("超过",F53)))</formula>
    </cfRule>
  </conditionalFormatting>
  <conditionalFormatting sqref="E52">
    <cfRule type="expression" dxfId="123" priority="10" stopIfTrue="1">
      <formula>$F$52="超过30%"</formula>
    </cfRule>
  </conditionalFormatting>
  <conditionalFormatting sqref="G54">
    <cfRule type="expression" dxfId="122" priority="8" stopIfTrue="1">
      <formula>$H$54="超过30%"</formula>
    </cfRule>
  </conditionalFormatting>
  <conditionalFormatting sqref="E53">
    <cfRule type="expression" dxfId="121" priority="7" stopIfTrue="1">
      <formula>$F$53="超过20%"</formula>
    </cfRule>
  </conditionalFormatting>
  <conditionalFormatting sqref="E54">
    <cfRule type="expression" dxfId="120" priority="6" stopIfTrue="1">
      <formula>$F$54="超过30%"</formula>
    </cfRule>
  </conditionalFormatting>
  <conditionalFormatting sqref="G52">
    <cfRule type="expression" dxfId="119" priority="5" stopIfTrue="1">
      <formula>$H$52="超过30%"</formula>
    </cfRule>
  </conditionalFormatting>
  <conditionalFormatting sqref="G53">
    <cfRule type="expression" dxfId="118" priority="4" stopIfTrue="1">
      <formula>$H$53="超过20%"</formula>
    </cfRule>
  </conditionalFormatting>
  <conditionalFormatting sqref="I52">
    <cfRule type="expression" dxfId="117" priority="3" stopIfTrue="1">
      <formula>$J$52="超过30%"</formula>
    </cfRule>
  </conditionalFormatting>
  <conditionalFormatting sqref="I53">
    <cfRule type="expression" dxfId="116" priority="2" stopIfTrue="1">
      <formula>$J$53="超过20%"</formula>
    </cfRule>
  </conditionalFormatting>
  <conditionalFormatting sqref="I54">
    <cfRule type="expression" dxfId="11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F40" sqref="F4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1590</v>
      </c>
      <c r="B1" s="782"/>
      <c r="C1" s="1837" t="s">
        <v>3162</v>
      </c>
      <c r="D1" s="1820" t="s">
        <v>3168</v>
      </c>
      <c r="E1" s="1821" t="s">
        <v>1387</v>
      </c>
      <c r="F1" s="1283">
        <f ca="1">J53</f>
        <v>46.85</v>
      </c>
      <c r="G1" s="1836">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1516</v>
      </c>
      <c r="B2" s="1844">
        <f ca="1">C40+J29+L46</f>
        <v>6712</v>
      </c>
      <c r="C2" s="1845" t="s">
        <v>1517</v>
      </c>
      <c r="D2" s="1845"/>
      <c r="E2" s="1846"/>
      <c r="F2" s="1847"/>
      <c r="G2" s="1848"/>
      <c r="H2" s="1840"/>
      <c r="I2" s="1840"/>
      <c r="J2" s="1840"/>
      <c r="K2" s="1841"/>
      <c r="L2" s="1840"/>
      <c r="M2" s="1840"/>
    </row>
    <row r="3" spans="1:37" ht="18" customHeight="1" thickBot="1">
      <c r="A3" s="1849" t="s">
        <v>1518</v>
      </c>
      <c r="B3" s="1850">
        <f ca="1">IF(ISERROR(B2*10000/F43),0,ROUND(B2*10000/F43,0))</f>
        <v>8652</v>
      </c>
      <c r="C3" s="1845" t="s">
        <v>1519</v>
      </c>
      <c r="D3" s="1845"/>
      <c r="E3" s="1846"/>
      <c r="F3" s="1847"/>
      <c r="G3" s="1848"/>
      <c r="H3" s="744" t="s">
        <v>1589</v>
      </c>
      <c r="I3" s="1840"/>
      <c r="J3" s="1840"/>
      <c r="K3" s="1841"/>
      <c r="L3" s="1840"/>
      <c r="M3" s="1840"/>
    </row>
    <row r="4" spans="1:37" ht="18" customHeight="1">
      <c r="A4" s="340" t="s">
        <v>1396</v>
      </c>
      <c r="B4" s="341" t="s">
        <v>1397</v>
      </c>
      <c r="C4" s="341" t="s">
        <v>1398</v>
      </c>
      <c r="D4" s="341" t="s">
        <v>1399</v>
      </c>
      <c r="E4" s="342" t="s">
        <v>1400</v>
      </c>
      <c r="F4" s="343"/>
      <c r="G4" s="1851"/>
      <c r="H4" s="340" t="s">
        <v>1396</v>
      </c>
      <c r="I4" s="341" t="s">
        <v>1397</v>
      </c>
      <c r="J4" s="341" t="s">
        <v>1398</v>
      </c>
      <c r="K4" s="341" t="s">
        <v>1399</v>
      </c>
      <c r="L4" s="342" t="s">
        <v>1400</v>
      </c>
      <c r="M4" s="343"/>
    </row>
    <row r="5" spans="1:37" ht="18" customHeight="1">
      <c r="A5" s="344">
        <v>1</v>
      </c>
      <c r="B5" s="345" t="s">
        <v>1401</v>
      </c>
      <c r="C5" s="1292">
        <f ca="1">C6+C10+C12</f>
        <v>331</v>
      </c>
      <c r="D5" s="1822" t="s">
        <v>1402</v>
      </c>
      <c r="E5" s="1293"/>
      <c r="F5" s="1294"/>
      <c r="G5" s="1851"/>
      <c r="H5" s="344">
        <v>1</v>
      </c>
      <c r="I5" s="345" t="s">
        <v>1401</v>
      </c>
      <c r="J5" s="1292">
        <f ca="1">J6+J10+J12</f>
        <v>0</v>
      </c>
      <c r="K5" s="1822" t="s">
        <v>1402</v>
      </c>
      <c r="L5" s="1293"/>
      <c r="M5" s="1294"/>
    </row>
    <row r="6" spans="1:37" ht="18" customHeight="1">
      <c r="A6" s="1291" t="s">
        <v>1035</v>
      </c>
      <c r="B6" s="3398" t="s">
        <v>1403</v>
      </c>
      <c r="C6" s="1296">
        <f ca="1">ROUND(F6*F8*F7*(1-F9)/10000,0)</f>
        <v>331</v>
      </c>
      <c r="D6" s="164" t="s">
        <v>3028</v>
      </c>
      <c r="E6" s="347" t="s">
        <v>1405</v>
      </c>
      <c r="F6" s="348">
        <f ca="1">INDIRECT("'数据-取费表'!u"&amp;$G$1)</f>
        <v>1.3</v>
      </c>
      <c r="G6" s="1851"/>
      <c r="H6" s="1291" t="s">
        <v>1035</v>
      </c>
      <c r="I6" s="3398" t="s">
        <v>1403</v>
      </c>
      <c r="J6" s="346">
        <f ca="1">ROUND(M6*M8*M7*(1-M9)/10000,0)</f>
        <v>0</v>
      </c>
      <c r="K6" s="164" t="s">
        <v>3027</v>
      </c>
      <c r="L6" s="347" t="s">
        <v>1405</v>
      </c>
      <c r="M6" s="348">
        <f ca="1">INDIRECT("'数据-取费表'!z"&amp;$G$1)</f>
        <v>0</v>
      </c>
    </row>
    <row r="7" spans="1:37" ht="18" customHeight="1">
      <c r="A7" s="1295"/>
      <c r="B7" s="3399"/>
      <c r="C7" s="1297"/>
      <c r="D7" s="352"/>
      <c r="E7" s="1298" t="s">
        <v>1406</v>
      </c>
      <c r="F7" s="348">
        <f ca="1">IF(INDIRECT("'数据-取费表'!ah"&amp;$G$1)="",INDIRECT("'数据-取费表'!k"&amp;$G$1),INDIRECT("'数据-取费表'!ah"&amp;$G$1))</f>
        <v>7758.13</v>
      </c>
      <c r="G7" s="1851"/>
      <c r="H7" s="349"/>
      <c r="I7" s="3399"/>
      <c r="J7" s="351"/>
      <c r="K7" s="352"/>
      <c r="L7" s="347" t="s">
        <v>1406</v>
      </c>
      <c r="M7" s="348">
        <f ca="1">F7</f>
        <v>7758.13</v>
      </c>
    </row>
    <row r="8" spans="1:37" ht="18" customHeight="1">
      <c r="A8" s="349"/>
      <c r="B8" s="3399"/>
      <c r="C8" s="351"/>
      <c r="D8" s="352"/>
      <c r="E8" s="347" t="s">
        <v>1407</v>
      </c>
      <c r="F8" s="348">
        <f ca="1">INDIRECT("'数据-取费表'!ai"&amp;$G$1)</f>
        <v>365</v>
      </c>
      <c r="G8" s="1851"/>
      <c r="H8" s="349"/>
      <c r="I8" s="3399"/>
      <c r="J8" s="351"/>
      <c r="K8" s="352"/>
      <c r="L8" s="347" t="s">
        <v>1407</v>
      </c>
      <c r="M8" s="348">
        <f ca="1">INDIRECT("'数据-取费表'!ai"&amp;$G$1)</f>
        <v>365</v>
      </c>
    </row>
    <row r="9" spans="1:37" ht="18" customHeight="1">
      <c r="A9" s="349"/>
      <c r="B9" s="3400"/>
      <c r="C9" s="351"/>
      <c r="D9" s="352"/>
      <c r="E9" s="347" t="s">
        <v>1408</v>
      </c>
      <c r="F9" s="357">
        <f ca="1">INDIRECT("'数据-取费表'!w"&amp;$G$1)</f>
        <v>0.1</v>
      </c>
      <c r="G9" s="1851"/>
      <c r="H9" s="349"/>
      <c r="I9" s="3400"/>
      <c r="J9" s="351"/>
      <c r="K9" s="352"/>
      <c r="L9" s="358" t="s">
        <v>1408</v>
      </c>
      <c r="M9" s="359">
        <f ca="1">INDIRECT("'数据-取费表'!ab"&amp;$G$1)</f>
        <v>0</v>
      </c>
    </row>
    <row r="10" spans="1:37" ht="18" customHeight="1">
      <c r="A10" s="1291" t="s">
        <v>1039</v>
      </c>
      <c r="B10" s="1823" t="s">
        <v>1409</v>
      </c>
      <c r="C10" s="361">
        <f ca="1">ROUND(IF(F10="押一",F6*F8*F7/12*F11,IF(F10="押二",F6*F8*F7/12*2*F11,IF(F10="押三",F6*F8*F7/12*3*F11,C11*F11)))/10000,0)</f>
        <v>0</v>
      </c>
      <c r="D10" s="1824" t="s">
        <v>3029</v>
      </c>
      <c r="E10" s="358" t="s">
        <v>1411</v>
      </c>
      <c r="F10" s="1366"/>
      <c r="G10" s="1851"/>
      <c r="H10" s="1291" t="s">
        <v>1039</v>
      </c>
      <c r="I10" s="1823" t="s">
        <v>1409</v>
      </c>
      <c r="J10" s="346">
        <f ca="1">ROUND(IF(M10="押一",M6*M8*M7/12*M11,IF(M10="押二",M6*M8*M7/12*2*M11,IF(M10="押三",M6*M8*M7/12*3*M11,J11*M11)))/10000,0)</f>
        <v>0</v>
      </c>
      <c r="K10" s="1824" t="s">
        <v>3030</v>
      </c>
      <c r="L10" s="358" t="s">
        <v>1411</v>
      </c>
      <c r="M10" s="1366" t="s">
        <v>1412</v>
      </c>
    </row>
    <row r="11" spans="1:37" ht="18" customHeight="1">
      <c r="A11" s="353"/>
      <c r="B11" s="1825" t="s">
        <v>1388</v>
      </c>
      <c r="C11" s="1178"/>
      <c r="D11" s="1826"/>
      <c r="E11" s="358" t="s">
        <v>1413</v>
      </c>
      <c r="F11" s="359">
        <f ca="1">'数据-取费表'!B39</f>
        <v>1.4999999999999999E-2</v>
      </c>
      <c r="G11" s="1851"/>
      <c r="H11" s="1299"/>
      <c r="I11" s="1825" t="s">
        <v>1388</v>
      </c>
      <c r="J11" s="1178"/>
      <c r="K11" s="748"/>
      <c r="L11" s="358" t="s">
        <v>1413</v>
      </c>
      <c r="M11" s="1056">
        <f ca="1">'数据-取费表'!B39</f>
        <v>1.4999999999999999E-2</v>
      </c>
    </row>
    <row r="12" spans="1:37" ht="18" customHeight="1" thickBot="1">
      <c r="A12" s="1333" t="s">
        <v>1075</v>
      </c>
      <c r="B12" s="1827" t="s">
        <v>1414</v>
      </c>
      <c r="C12" s="1334"/>
      <c r="D12" s="1335"/>
      <c r="E12" s="1340"/>
      <c r="F12" s="1336"/>
      <c r="G12" s="1851"/>
      <c r="H12" s="1333" t="s">
        <v>1075</v>
      </c>
      <c r="I12" s="1827" t="s">
        <v>1414</v>
      </c>
      <c r="J12" s="1334"/>
      <c r="K12" s="1348"/>
      <c r="L12" s="1340"/>
      <c r="M12" s="1349"/>
    </row>
    <row r="13" spans="1:37" ht="18" customHeight="1" thickTop="1">
      <c r="A13" s="1329">
        <v>2</v>
      </c>
      <c r="B13" s="1330" t="s">
        <v>1415</v>
      </c>
      <c r="C13" s="355">
        <f ca="1">ROUND(C29*F13,0)</f>
        <v>0</v>
      </c>
      <c r="D13" s="1331" t="s">
        <v>1416</v>
      </c>
      <c r="E13" s="1331" t="s">
        <v>1417</v>
      </c>
      <c r="F13" s="1332">
        <f ca="1">INDIRECT("'数据-取费表'!y"&amp;$G$1)</f>
        <v>0</v>
      </c>
      <c r="G13" s="1851"/>
      <c r="H13" s="1329">
        <v>2</v>
      </c>
      <c r="I13" s="1330" t="s">
        <v>1415</v>
      </c>
      <c r="J13" s="1290">
        <f ca="1">ROUND(J14*J15,0)</f>
        <v>0</v>
      </c>
      <c r="K13" s="1337" t="s">
        <v>1416</v>
      </c>
      <c r="L13" s="1852"/>
      <c r="M13" s="1853"/>
    </row>
    <row r="14" spans="1:37" ht="18" customHeight="1">
      <c r="A14" s="1201" t="s">
        <v>1034</v>
      </c>
      <c r="B14" s="347" t="s">
        <v>1418</v>
      </c>
      <c r="C14" s="363">
        <f ca="1">INDIRECT("'数据-取费表'!m"&amp;$G$1)+INDIRECT("'数据-取费表'!t"&amp;$G$1)</f>
        <v>1743</v>
      </c>
      <c r="D14" s="1800" t="s">
        <v>1419</v>
      </c>
      <c r="E14" s="1794"/>
      <c r="F14" s="364"/>
      <c r="G14" s="1851"/>
      <c r="H14" s="1201" t="s">
        <v>1035</v>
      </c>
      <c r="I14" s="347" t="s">
        <v>1420</v>
      </c>
      <c r="J14" s="24">
        <f ca="1">C29</f>
        <v>2562</v>
      </c>
      <c r="K14" s="15"/>
      <c r="L14" s="979"/>
      <c r="M14" s="980"/>
    </row>
    <row r="15" spans="1:37" s="1858" customFormat="1" ht="18" customHeight="1" thickBot="1">
      <c r="A15" s="1201" t="s">
        <v>1036</v>
      </c>
      <c r="B15" s="347" t="s">
        <v>1421</v>
      </c>
      <c r="C15" s="24">
        <f ca="1">ROUND(C14*F15,0)</f>
        <v>52</v>
      </c>
      <c r="D15" s="365" t="s">
        <v>1422</v>
      </c>
      <c r="E15" s="365" t="s">
        <v>1423</v>
      </c>
      <c r="F15" s="366">
        <f>'数据-取费表'!B33</f>
        <v>0.03</v>
      </c>
      <c r="G15" s="1854"/>
      <c r="H15" s="1339" t="s">
        <v>1039</v>
      </c>
      <c r="I15" s="1340" t="s">
        <v>1417</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1389</v>
      </c>
      <c r="B16" s="347" t="s">
        <v>1424</v>
      </c>
      <c r="C16" s="24">
        <f ca="1">ROUND(INDIRECT("'数据-取费表'!m"&amp;$G$1)*F16,0)</f>
        <v>0</v>
      </c>
      <c r="D16" s="347" t="s">
        <v>1422</v>
      </c>
      <c r="E16" s="347" t="s">
        <v>1423</v>
      </c>
      <c r="F16" s="367">
        <f ca="1">IF(INDIRECT("'数据-取费表'!c"&amp;$G$1)="住宅",'数据-取费表'!B34,0)</f>
        <v>0</v>
      </c>
      <c r="G16" s="1851"/>
      <c r="H16" s="1329" t="s">
        <v>1030</v>
      </c>
      <c r="I16" s="1330" t="s">
        <v>1425</v>
      </c>
      <c r="J16" s="355">
        <f ca="1">ROUND(J17+J22+J23+J24,0)</f>
        <v>60</v>
      </c>
      <c r="K16" s="1337" t="s">
        <v>1426</v>
      </c>
      <c r="L16" s="1338"/>
      <c r="M16" s="1294"/>
    </row>
    <row r="17" spans="1:37" s="1858" customFormat="1" ht="18" customHeight="1">
      <c r="A17" s="1201" t="s">
        <v>1390</v>
      </c>
      <c r="B17" s="347" t="s">
        <v>1427</v>
      </c>
      <c r="C17" s="24">
        <f ca="1">ROUND(F17*(F43+INDIRECT("'数据-取费表'!S"&amp;$G$1))/10000,0)</f>
        <v>159</v>
      </c>
      <c r="D17" s="347" t="s">
        <v>1428</v>
      </c>
      <c r="E17" s="347" t="s">
        <v>1429</v>
      </c>
      <c r="F17" s="26">
        <f>'数据-取费表'!B35</f>
        <v>200</v>
      </c>
      <c r="G17" s="1854"/>
      <c r="H17" s="1201" t="s">
        <v>1035</v>
      </c>
      <c r="I17" s="347" t="s">
        <v>1430</v>
      </c>
      <c r="J17" s="24">
        <f ca="1">ROUND(IF(项目基本情况!B11="自然人",J5*M17,J18+J19+J20),1)</f>
        <v>21.8</v>
      </c>
      <c r="K17" s="1800" t="s">
        <v>1431</v>
      </c>
      <c r="L17" s="1798" t="s">
        <v>1432</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1391</v>
      </c>
      <c r="B18" s="347" t="s">
        <v>1433</v>
      </c>
      <c r="C18" s="24">
        <f ca="1">ROUND(C14*F18,0)</f>
        <v>26</v>
      </c>
      <c r="D18" s="347" t="s">
        <v>1422</v>
      </c>
      <c r="E18" s="347" t="s">
        <v>1423</v>
      </c>
      <c r="F18" s="367">
        <f>'数据-取费表'!B36</f>
        <v>1.4999999999999999E-2</v>
      </c>
      <c r="G18" s="1854"/>
      <c r="H18" s="1201" t="s">
        <v>1034</v>
      </c>
      <c r="I18" s="347" t="s">
        <v>1434</v>
      </c>
      <c r="J18" s="24">
        <f ca="1">ROUND(J5*M18/(1+'数据-取费表'!C42),2)</f>
        <v>0</v>
      </c>
      <c r="K18" s="1798" t="s">
        <v>1435</v>
      </c>
      <c r="L18" s="347" t="s">
        <v>1423</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1035</v>
      </c>
      <c r="B19" s="347" t="s">
        <v>1436</v>
      </c>
      <c r="C19" s="24">
        <f ca="1">SUM(C14:C18)</f>
        <v>1980</v>
      </c>
      <c r="D19" s="140" t="s">
        <v>1437</v>
      </c>
      <c r="E19" s="1818"/>
      <c r="F19" s="26"/>
      <c r="G19" s="1851"/>
      <c r="H19" s="1201" t="s">
        <v>1036</v>
      </c>
      <c r="I19" s="347" t="s">
        <v>1438</v>
      </c>
      <c r="J19" s="24">
        <f ca="1">IF(K19="按租金收入计税",ROUND(J5*M19,2),ROUND(C29*M19*0.7,2))</f>
        <v>21.52</v>
      </c>
      <c r="K19" s="1828" t="s">
        <v>1439</v>
      </c>
      <c r="L19" s="347" t="s">
        <v>1423</v>
      </c>
      <c r="M19" s="367">
        <f>IF(K19="按租金收入计税",'数据-取费表'!B51,'数据-取费表'!B50)</f>
        <v>1.2E-2</v>
      </c>
    </row>
    <row r="20" spans="1:37" s="1858" customFormat="1" ht="18" customHeight="1">
      <c r="A20" s="1201" t="s">
        <v>1039</v>
      </c>
      <c r="B20" s="347" t="s">
        <v>1440</v>
      </c>
      <c r="C20" s="24">
        <f ca="1">ROUND(C19*F20,0)</f>
        <v>40</v>
      </c>
      <c r="D20" s="369" t="s">
        <v>1441</v>
      </c>
      <c r="E20" s="347" t="s">
        <v>1423</v>
      </c>
      <c r="F20" s="367">
        <f>'数据-取费表'!B37</f>
        <v>0.02</v>
      </c>
      <c r="G20" s="1854"/>
      <c r="H20" s="1201" t="s">
        <v>1389</v>
      </c>
      <c r="I20" s="164" t="s">
        <v>1442</v>
      </c>
      <c r="J20" s="25">
        <f ca="1">ROUND(M20*M21/10000,2)</f>
        <v>0.32</v>
      </c>
      <c r="K20" s="370" t="s">
        <v>1443</v>
      </c>
      <c r="L20" s="347" t="s">
        <v>1444</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1075</v>
      </c>
      <c r="B21" s="347" t="s">
        <v>1445</v>
      </c>
      <c r="C21" s="24" t="s">
        <v>18</v>
      </c>
      <c r="D21" s="369" t="s">
        <v>1446</v>
      </c>
      <c r="E21" s="347" t="s">
        <v>1447</v>
      </c>
      <c r="F21" s="367">
        <f>'数据-取费表'!B38</f>
        <v>0.02</v>
      </c>
      <c r="G21" s="1854"/>
      <c r="H21" s="372"/>
      <c r="I21" s="356"/>
      <c r="J21" s="29"/>
      <c r="K21" s="373"/>
      <c r="L21" s="347" t="s">
        <v>1448</v>
      </c>
      <c r="M21" s="348">
        <f ca="1">INDIRECT("'数据-取费表'!r"&amp;$G$1)</f>
        <v>2112</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1392</v>
      </c>
      <c r="B22" s="347" t="s">
        <v>1449</v>
      </c>
      <c r="C22" s="24"/>
      <c r="D22" s="140" t="str">
        <f>IF(F23&lt;=1,"单利计息。","复利计息。")&amp;"建造成本、管理费用、销售费用产生的利息。"</f>
        <v>复利计息。建造成本、管理费用、销售费用产生的利息。</v>
      </c>
      <c r="E22" s="1818"/>
      <c r="F22" s="26"/>
      <c r="G22" s="1851"/>
      <c r="H22" s="1201" t="s">
        <v>1039</v>
      </c>
      <c r="I22" s="347" t="s">
        <v>1450</v>
      </c>
      <c r="J22" s="24">
        <f ca="1">ROUND(J14*M22,1)</f>
        <v>38.4</v>
      </c>
      <c r="K22" s="1798" t="s">
        <v>1451</v>
      </c>
      <c r="L22" s="347" t="s">
        <v>1423</v>
      </c>
      <c r="M22" s="374">
        <f ca="1">INDIRECT("'数据-取费表'!Ak"&amp;$G$1)</f>
        <v>1.4999999999999999E-2</v>
      </c>
    </row>
    <row r="23" spans="1:37" s="1858" customFormat="1" ht="18" customHeight="1">
      <c r="A23" s="1201" t="s">
        <v>1034</v>
      </c>
      <c r="B23" s="347" t="s">
        <v>1452</v>
      </c>
      <c r="C23" s="24">
        <f ca="1">IF('数据-取费表'!B22&lt;=1,ROUND(C19*F24*F23/2,0)+ROUND(C20*F24*F23/2,0),ROUND(C19*(POWER((1+F24),F23/2)-1),0)+ROUND(C20*(POWER((1+F24),F23/2)-1),0))</f>
        <v>146</v>
      </c>
      <c r="D23" s="375" t="str">
        <f>IF(F23&lt;=1,"(建造成本+管理费用)×利率×(建设周期÷2)","(建造成本+管理费用)×((1+利率)^(建设周期÷2)-1)")</f>
        <v>(建造成本+管理费用)×((1+利率)^(建设周期÷2)-1)</v>
      </c>
      <c r="E23" s="347" t="s">
        <v>1453</v>
      </c>
      <c r="F23" s="371">
        <f>'数据-取费表'!B20</f>
        <v>3</v>
      </c>
      <c r="G23" s="1854"/>
      <c r="H23" s="1201" t="s">
        <v>1075</v>
      </c>
      <c r="I23" s="347" t="s">
        <v>1454</v>
      </c>
      <c r="J23" s="24">
        <f ca="1">ROUND(J13*M23,1)</f>
        <v>0</v>
      </c>
      <c r="K23" s="1798" t="s">
        <v>1455</v>
      </c>
      <c r="L23" s="347" t="s">
        <v>1456</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1457</v>
      </c>
      <c r="B24" s="347" t="s">
        <v>1458</v>
      </c>
      <c r="C24" s="24">
        <f ca="1">ROUND(IF('数据-取费表'!B22&lt;=1,F21*F24*F23/2,F21*(POWER((1+F24),F23/2)-1)),4)</f>
        <v>1.4E-3</v>
      </c>
      <c r="D24" s="375" t="str">
        <f>IF(F23&lt;=1,"销售费用×利率×(建设周期÷2)","销售费用×((1+利率)^(建设周期÷2)-1)")</f>
        <v>销售费用×((1+利率)^(建设周期÷2)-1)</v>
      </c>
      <c r="E24" s="347" t="s">
        <v>1459</v>
      </c>
      <c r="F24" s="377">
        <f ca="1">'数据-取费表'!B40</f>
        <v>4.7500000000000001E-2</v>
      </c>
      <c r="G24" s="1854"/>
      <c r="H24" s="1339" t="s">
        <v>1393</v>
      </c>
      <c r="I24" s="1340" t="s">
        <v>1440</v>
      </c>
      <c r="J24" s="1341">
        <f ca="1">ROUND(J5*M24,1)</f>
        <v>0</v>
      </c>
      <c r="K24" s="1342" t="s">
        <v>1460</v>
      </c>
      <c r="L24" s="1340" t="s">
        <v>1456</v>
      </c>
      <c r="M24" s="1336">
        <f ca="1">INDIRECT("'数据-取费表'!Am"&amp;$G$1)</f>
        <v>1.4999999999999999E-2</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1461</v>
      </c>
      <c r="B25" s="347" t="s">
        <v>1462</v>
      </c>
      <c r="C25" s="24"/>
      <c r="D25" s="140" t="s">
        <v>1463</v>
      </c>
      <c r="E25" s="1818"/>
      <c r="F25" s="26"/>
      <c r="G25" s="1851"/>
      <c r="H25" s="1329" t="s">
        <v>1031</v>
      </c>
      <c r="I25" s="1344" t="s">
        <v>1464</v>
      </c>
      <c r="J25" s="355">
        <f ca="1">J5-J16</f>
        <v>-60</v>
      </c>
      <c r="K25" s="1345" t="s">
        <v>1465</v>
      </c>
      <c r="L25" s="1346"/>
      <c r="M25" s="1347"/>
    </row>
    <row r="26" spans="1:37">
      <c r="A26" s="1201" t="s">
        <v>1034</v>
      </c>
      <c r="B26" s="347" t="s">
        <v>1466</v>
      </c>
      <c r="C26" s="24">
        <f ca="1">ROUND((C19+C20)*F26,0)</f>
        <v>202</v>
      </c>
      <c r="D26" s="369" t="s">
        <v>1467</v>
      </c>
      <c r="E26" s="358" t="s">
        <v>1468</v>
      </c>
      <c r="F26" s="357">
        <f ca="1">INDIRECT("'数据-取费表'!q"&amp;$G$1)</f>
        <v>0.1</v>
      </c>
      <c r="G26" s="1851"/>
      <c r="H26" s="344" t="s">
        <v>1032</v>
      </c>
      <c r="I26" s="345" t="s">
        <v>1469</v>
      </c>
      <c r="J26" s="346">
        <f ca="1">IF(J5&lt;&gt;0,ROUND(J25*(1-((1+M28)/(1+M26))^M27)/(M26-M28),0),0)</f>
        <v>0</v>
      </c>
      <c r="K26" s="370" t="s">
        <v>1470</v>
      </c>
      <c r="L26" s="347" t="s">
        <v>1471</v>
      </c>
      <c r="M26" s="357">
        <f ca="1">INDIRECT("'数据-取费表'!I"&amp;$G$1)</f>
        <v>0.05</v>
      </c>
    </row>
    <row r="27" spans="1:37" ht="18" customHeight="1">
      <c r="A27" s="1201" t="s">
        <v>1036</v>
      </c>
      <c r="B27" s="347" t="s">
        <v>1472</v>
      </c>
      <c r="C27" s="24">
        <f ca="1">ROUND(F21*F26,4)</f>
        <v>2E-3</v>
      </c>
      <c r="D27" s="369" t="s">
        <v>1473</v>
      </c>
      <c r="E27" s="365"/>
      <c r="F27" s="366"/>
      <c r="G27" s="1851"/>
      <c r="H27" s="349"/>
      <c r="I27" s="350"/>
      <c r="J27" s="351"/>
      <c r="K27" s="378" t="s">
        <v>1474</v>
      </c>
      <c r="L27" s="347" t="s">
        <v>1475</v>
      </c>
      <c r="M27" s="379">
        <f ca="1">INDIRECT("'数据-取费表'!ag"&amp;$G$1)</f>
        <v>0</v>
      </c>
    </row>
    <row r="28" spans="1:37" s="1858" customFormat="1" ht="18" customHeight="1">
      <c r="A28" s="1201" t="s">
        <v>1037</v>
      </c>
      <c r="B28" s="347" t="s">
        <v>1476</v>
      </c>
      <c r="C28" s="24">
        <f>ROUND(F28/(1+'数据-取费表'!C42),4)</f>
        <v>5.2400000000000002E-2</v>
      </c>
      <c r="D28" s="369" t="s">
        <v>1477</v>
      </c>
      <c r="E28" s="347" t="s">
        <v>1423</v>
      </c>
      <c r="F28" s="367">
        <f>'数据-取费表'!B41</f>
        <v>5.5000000000000007E-2</v>
      </c>
      <c r="G28" s="1854"/>
      <c r="H28" s="353"/>
      <c r="I28" s="354"/>
      <c r="J28" s="355"/>
      <c r="K28" s="373"/>
      <c r="L28" s="347" t="s">
        <v>1478</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1038</v>
      </c>
      <c r="B29" s="1340" t="s">
        <v>1479</v>
      </c>
      <c r="C29" s="1341">
        <f ca="1">ROUND((C19+C20+C23+C26)/(1-F21-C24-C27-C28),0)</f>
        <v>2562</v>
      </c>
      <c r="D29" s="1342"/>
      <c r="E29" s="1340"/>
      <c r="F29" s="1343"/>
      <c r="G29" s="1854"/>
      <c r="H29" s="380" t="s">
        <v>1033</v>
      </c>
      <c r="I29" s="381" t="s">
        <v>1480</v>
      </c>
      <c r="J29" s="382">
        <f ca="1">ROUND(J26/(1+F40)^F41,0)</f>
        <v>0</v>
      </c>
      <c r="K29" s="383" t="s">
        <v>1481</v>
      </c>
      <c r="L29" s="384"/>
      <c r="M29" s="385">
        <f ca="1">INDIRECT("'数据-取费表'!k"&amp;$G$1)</f>
        <v>7758.13</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1030</v>
      </c>
      <c r="B30" s="1330" t="s">
        <v>1425</v>
      </c>
      <c r="C30" s="355">
        <f ca="1">ROUND(C31+C36+C37+C38,0)</f>
        <v>83</v>
      </c>
      <c r="D30" s="1337" t="s">
        <v>1426</v>
      </c>
      <c r="E30" s="1338"/>
      <c r="F30" s="1294"/>
      <c r="G30" s="1851"/>
      <c r="H30" s="745"/>
      <c r="I30" s="746"/>
      <c r="J30" s="747"/>
      <c r="K30" s="748"/>
      <c r="L30" s="749"/>
      <c r="M30" s="750"/>
    </row>
    <row r="31" spans="1:37" ht="18" customHeight="1">
      <c r="A31" s="1201" t="s">
        <v>1035</v>
      </c>
      <c r="B31" s="347" t="s">
        <v>1430</v>
      </c>
      <c r="C31" s="24">
        <f ca="1">ROUND(IF(项目基本情况!B11="自然人",C5*F31,C32+C33+C34),1)</f>
        <v>39.200000000000003</v>
      </c>
      <c r="D31" s="1800" t="s">
        <v>1431</v>
      </c>
      <c r="E31" s="1798" t="s">
        <v>1482</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1034</v>
      </c>
      <c r="B32" s="347" t="s">
        <v>1434</v>
      </c>
      <c r="C32" s="24">
        <f ca="1">IF(项目基本情况!B11="自然人","——",ROUND(C5*F32/(1+'数据-取费表'!C42),2))</f>
        <v>17.34</v>
      </c>
      <c r="D32" s="1798" t="s">
        <v>1435</v>
      </c>
      <c r="E32" s="347" t="s">
        <v>1423</v>
      </c>
      <c r="F32" s="377">
        <f>'数据-取费表'!B41</f>
        <v>5.5000000000000007E-2</v>
      </c>
      <c r="G32" s="1851"/>
      <c r="H32" s="745"/>
      <c r="I32" s="746"/>
      <c r="J32" s="747"/>
      <c r="K32" s="748"/>
      <c r="L32" s="749"/>
      <c r="M32" s="750"/>
    </row>
    <row r="33" spans="1:18" ht="18" customHeight="1">
      <c r="A33" s="1201" t="s">
        <v>1036</v>
      </c>
      <c r="B33" s="347" t="s">
        <v>1438</v>
      </c>
      <c r="C33" s="24">
        <f ca="1">IF(项目基本情况!B11="自然人","——",IF(D33="按租金收入计税",ROUND(C5*F33,2),IF(D33="按房产原值计税",ROUND(C29*F33*0.7,2),INDIRECT("'数据-取费表'!Aj"&amp;$G$1))))</f>
        <v>21.52</v>
      </c>
      <c r="D33" s="1828" t="s">
        <v>1439</v>
      </c>
      <c r="E33" s="347" t="s">
        <v>1423</v>
      </c>
      <c r="F33" s="367">
        <f>IF(D33="按票据","——",IF(D33="按租金收入计税",'数据-取费表'!B51,'数据-取费表'!B50))</f>
        <v>1.2E-2</v>
      </c>
      <c r="G33" s="1851"/>
      <c r="H33" s="1859"/>
      <c r="I33" s="1860"/>
      <c r="J33" s="1861"/>
      <c r="K33" s="1862"/>
      <c r="L33" s="1859"/>
      <c r="M33" s="1859"/>
    </row>
    <row r="34" spans="1:18" ht="18" customHeight="1">
      <c r="A34" s="1291" t="s">
        <v>1389</v>
      </c>
      <c r="B34" s="164" t="s">
        <v>1442</v>
      </c>
      <c r="C34" s="25">
        <f ca="1">IF(项目基本情况!B11="自然人","——",ROUND(F34*F35/10000,2))</f>
        <v>0.32</v>
      </c>
      <c r="D34" s="370" t="s">
        <v>1443</v>
      </c>
      <c r="E34" s="347" t="s">
        <v>1444</v>
      </c>
      <c r="F34" s="371">
        <f>'数据-取费表'!B52</f>
        <v>1.5</v>
      </c>
      <c r="G34" s="1851"/>
      <c r="H34" s="745"/>
      <c r="I34" s="1860"/>
      <c r="J34" s="1861"/>
      <c r="K34" s="1863"/>
      <c r="L34" s="1864"/>
      <c r="M34" s="1864"/>
    </row>
    <row r="35" spans="1:18" ht="18" customHeight="1">
      <c r="A35" s="1353"/>
      <c r="B35" s="1351"/>
      <c r="C35" s="29"/>
      <c r="D35" s="373"/>
      <c r="E35" s="347" t="s">
        <v>1448</v>
      </c>
      <c r="F35" s="348">
        <f ca="1">INDIRECT("'数据-取费表'!r"&amp;$G$1)</f>
        <v>2112</v>
      </c>
      <c r="G35" s="1851"/>
      <c r="H35" s="745"/>
      <c r="I35" s="1860"/>
      <c r="J35" s="1861"/>
      <c r="K35" s="1862"/>
      <c r="L35" s="1859"/>
      <c r="M35" s="1859"/>
    </row>
    <row r="36" spans="1:18" ht="18" customHeight="1">
      <c r="A36" s="1352" t="s">
        <v>1039</v>
      </c>
      <c r="B36" s="347" t="s">
        <v>1450</v>
      </c>
      <c r="C36" s="24">
        <f ca="1">ROUND(C29*F36,1)</f>
        <v>38.4</v>
      </c>
      <c r="D36" s="1798" t="s">
        <v>1483</v>
      </c>
      <c r="E36" s="347" t="s">
        <v>1423</v>
      </c>
      <c r="F36" s="374">
        <f ca="1">INDIRECT("'数据-取费表'!Ak"&amp;$G$1)</f>
        <v>1.4999999999999999E-2</v>
      </c>
      <c r="G36" s="1851"/>
      <c r="H36" s="1859"/>
      <c r="I36" s="1860"/>
      <c r="J36" s="1861"/>
      <c r="K36" s="751"/>
      <c r="L36" s="1859"/>
      <c r="M36" s="1859"/>
    </row>
    <row r="37" spans="1:18" ht="18" customHeight="1">
      <c r="A37" s="1201" t="s">
        <v>1075</v>
      </c>
      <c r="B37" s="347" t="s">
        <v>1454</v>
      </c>
      <c r="C37" s="24">
        <f ca="1">ROUND(C13*F37,1)</f>
        <v>0</v>
      </c>
      <c r="D37" s="1798" t="s">
        <v>1455</v>
      </c>
      <c r="E37" s="347" t="s">
        <v>1456</v>
      </c>
      <c r="F37" s="376">
        <f ca="1">INDIRECT("'数据-取费表'!Al"&amp;$G$1)</f>
        <v>1.5E-3</v>
      </c>
      <c r="G37" s="1851"/>
      <c r="H37" s="1859"/>
      <c r="I37" s="1860"/>
      <c r="J37" s="1861"/>
      <c r="K37" s="751"/>
      <c r="L37" s="1859"/>
      <c r="M37" s="1859"/>
    </row>
    <row r="38" spans="1:18" ht="18" customHeight="1" thickBot="1">
      <c r="A38" s="1339" t="s">
        <v>1393</v>
      </c>
      <c r="B38" s="1340" t="s">
        <v>1440</v>
      </c>
      <c r="C38" s="1341">
        <f ca="1">ROUND(C5*F38,1)</f>
        <v>5</v>
      </c>
      <c r="D38" s="1342" t="s">
        <v>1460</v>
      </c>
      <c r="E38" s="1340" t="s">
        <v>1456</v>
      </c>
      <c r="F38" s="1336">
        <f ca="1">INDIRECT("'数据-取费表'!Am"&amp;$G$1)</f>
        <v>1.4999999999999999E-2</v>
      </c>
      <c r="G38" s="1851"/>
      <c r="H38" s="1859"/>
      <c r="I38" s="1860"/>
      <c r="J38" s="1861"/>
      <c r="K38" s="1865"/>
      <c r="L38" s="1859"/>
      <c r="M38" s="1859"/>
    </row>
    <row r="39" spans="1:18" ht="24.6" customHeight="1" thickTop="1">
      <c r="A39" s="1329" t="s">
        <v>1031</v>
      </c>
      <c r="B39" s="1344" t="s">
        <v>1484</v>
      </c>
      <c r="C39" s="355">
        <f ca="1">C5-C30</f>
        <v>248</v>
      </c>
      <c r="D39" s="1345" t="s">
        <v>1485</v>
      </c>
      <c r="E39" s="1346"/>
      <c r="F39" s="1347"/>
      <c r="G39" s="1851"/>
      <c r="H39" s="1859"/>
      <c r="I39" s="1860"/>
      <c r="J39" s="1861"/>
      <c r="K39" s="1865"/>
      <c r="L39" s="1859"/>
      <c r="M39" s="1859"/>
    </row>
    <row r="40" spans="1:18" ht="18" customHeight="1">
      <c r="A40" s="344" t="s">
        <v>1032</v>
      </c>
      <c r="B40" s="345" t="s">
        <v>1486</v>
      </c>
      <c r="C40" s="346">
        <f ca="1">ROUND(C39*(1-((1+F42)/(1+F40))^F41)/(F40-F42),0)</f>
        <v>6712</v>
      </c>
      <c r="D40" s="370" t="s">
        <v>1470</v>
      </c>
      <c r="E40" s="347" t="s">
        <v>1471</v>
      </c>
      <c r="F40" s="357">
        <f ca="1">INDIRECT("'数据-取费表'!I"&amp;$G$1)</f>
        <v>0.05</v>
      </c>
      <c r="G40" s="1851"/>
      <c r="H40" s="1839"/>
      <c r="I40" s="1860"/>
      <c r="J40" s="1861"/>
      <c r="K40" s="1865"/>
      <c r="L40" s="1839"/>
      <c r="M40" s="1839"/>
    </row>
    <row r="41" spans="1:18" ht="18" customHeight="1">
      <c r="A41" s="349"/>
      <c r="B41" s="350"/>
      <c r="C41" s="351"/>
      <c r="D41" s="378" t="s">
        <v>1487</v>
      </c>
      <c r="E41" s="347" t="s">
        <v>1475</v>
      </c>
      <c r="F41" s="379">
        <f ca="1">IF(INDIRECT("'数据-取费表'!af"&amp;$G$1)=0,INDIRECT("'数据-取费表'!ae"&amp;$G$1),INDIRECT("'数据-取费表'!af"&amp;$G$1))</f>
        <v>46.85</v>
      </c>
      <c r="G41" s="1851"/>
      <c r="H41" s="732"/>
      <c r="I41" s="1860"/>
      <c r="J41" s="1861"/>
      <c r="K41" s="751"/>
      <c r="L41" s="732"/>
      <c r="M41" s="732"/>
    </row>
    <row r="42" spans="1:18" ht="18" customHeight="1">
      <c r="A42" s="353"/>
      <c r="B42" s="354"/>
      <c r="C42" s="355"/>
      <c r="D42" s="373"/>
      <c r="E42" s="347" t="s">
        <v>1478</v>
      </c>
      <c r="F42" s="357">
        <f ca="1">INDIRECT("'数据-取费表'!v"&amp;$G$1)</f>
        <v>2.5000000000000001E-2</v>
      </c>
      <c r="G42" s="1851"/>
      <c r="H42" s="732"/>
      <c r="I42" s="1860"/>
      <c r="J42" s="1861"/>
      <c r="K42" s="751"/>
      <c r="L42" s="732"/>
      <c r="M42" s="732"/>
    </row>
    <row r="43" spans="1:18" ht="18" customHeight="1" thickBot="1">
      <c r="A43" s="380" t="s">
        <v>1033</v>
      </c>
      <c r="B43" s="381" t="s">
        <v>1488</v>
      </c>
      <c r="C43" s="382">
        <f ca="1">ROUND(C40*10000/F43,0)</f>
        <v>8652</v>
      </c>
      <c r="D43" s="383" t="s">
        <v>1489</v>
      </c>
      <c r="E43" s="384" t="s">
        <v>1490</v>
      </c>
      <c r="F43" s="385">
        <f ca="1">INDIRECT("'数据-取费表'!k"&amp;$G$1)</f>
        <v>7758.13</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1520</v>
      </c>
      <c r="P45" s="1839"/>
      <c r="Q45" s="1839"/>
      <c r="R45" s="1839"/>
    </row>
    <row r="46" spans="1:18" s="1842" customFormat="1" ht="13.5" thickBot="1">
      <c r="A46" s="1870" t="s">
        <v>1521</v>
      </c>
      <c r="C46" s="1871">
        <f ca="1">C68-C40</f>
        <v>-7790</v>
      </c>
      <c r="D46" s="1872" t="str">
        <f>C2</f>
        <v>万元</v>
      </c>
      <c r="E46" s="1866"/>
      <c r="F46" s="1866"/>
      <c r="I46" s="1873" t="s">
        <v>1522</v>
      </c>
      <c r="J46" s="1874"/>
      <c r="K46" s="1875"/>
      <c r="L46" s="1876" t="str">
        <f ca="1">IF(M47="住宅",0,IF(L48&gt;J51,L60,J60))</f>
        <v>0</v>
      </c>
      <c r="O46" s="1877" t="s">
        <v>1523</v>
      </c>
      <c r="P46" s="1878" t="s">
        <v>1524</v>
      </c>
      <c r="Q46" s="1879" t="s">
        <v>1525</v>
      </c>
      <c r="R46" s="1879" t="s">
        <v>1526</v>
      </c>
    </row>
    <row r="47" spans="1:18" s="1842" customFormat="1" ht="13.5" thickBot="1">
      <c r="A47" s="1165" t="s">
        <v>1396</v>
      </c>
      <c r="B47" s="1197" t="s">
        <v>1397</v>
      </c>
      <c r="C47" s="1367" t="s">
        <v>1398</v>
      </c>
      <c r="D47" s="1197" t="s">
        <v>1399</v>
      </c>
      <c r="E47" s="1279" t="s">
        <v>1400</v>
      </c>
      <c r="F47" s="1280"/>
      <c r="G47" s="792"/>
      <c r="I47" s="1880" t="s">
        <v>1527</v>
      </c>
      <c r="J47" s="1881" t="s">
        <v>3169</v>
      </c>
      <c r="K47" s="1882" t="s">
        <v>1528</v>
      </c>
      <c r="L47" s="1883">
        <f ca="1">INDIRECT("'数据-取费表'!d"&amp;$G$1)</f>
        <v>50</v>
      </c>
      <c r="M47" s="1838" t="str">
        <f>IF(ISNUMBER(FIND("住宅",C1)),"住宅","非住宅")</f>
        <v>非住宅</v>
      </c>
      <c r="O47" s="1884" t="s">
        <v>1040</v>
      </c>
      <c r="P47" s="1885" t="s">
        <v>1529</v>
      </c>
      <c r="Q47" s="1886">
        <f ca="1">C40+J29</f>
        <v>6712</v>
      </c>
      <c r="R47" s="1886" t="s">
        <v>1530</v>
      </c>
    </row>
    <row r="48" spans="1:18" s="1842" customFormat="1" ht="28.5" thickBot="1">
      <c r="A48" s="1360" t="s">
        <v>1135</v>
      </c>
      <c r="B48" s="345" t="s">
        <v>1401</v>
      </c>
      <c r="C48" s="1817">
        <f ca="1">C49+C53+C55</f>
        <v>0</v>
      </c>
      <c r="D48" s="1362"/>
      <c r="E48" s="1363"/>
      <c r="F48" s="1181"/>
      <c r="G48" s="792"/>
      <c r="H48" s="793"/>
      <c r="I48" s="1887" t="s">
        <v>1531</v>
      </c>
      <c r="J48" s="1888" t="s">
        <v>3170</v>
      </c>
      <c r="K48" s="1889" t="s">
        <v>1532</v>
      </c>
      <c r="L48" s="1890">
        <f ca="1">INDIRECT("'数据-取费表'!f"&amp;$G$1)</f>
        <v>47.95</v>
      </c>
      <c r="O48" s="1884" t="s">
        <v>1041</v>
      </c>
      <c r="P48" s="1885" t="s">
        <v>1533</v>
      </c>
      <c r="Q48" s="1886" t="str">
        <f ca="1">J60</f>
        <v>0</v>
      </c>
      <c r="R48" s="1886" t="s">
        <v>1534</v>
      </c>
    </row>
    <row r="49" spans="1:18" s="1842" customFormat="1" ht="13.5" thickBot="1">
      <c r="A49" s="1194" t="s">
        <v>1136</v>
      </c>
      <c r="B49" s="1829" t="s">
        <v>1491</v>
      </c>
      <c r="C49" s="1364">
        <f ca="1">ROUND(F49*F51*F50*(1-F52)/10000,0)</f>
        <v>0</v>
      </c>
      <c r="D49" s="1276" t="s">
        <v>3031</v>
      </c>
      <c r="E49" s="1830" t="s">
        <v>1492</v>
      </c>
      <c r="F49" s="1281"/>
      <c r="G49" s="1891"/>
      <c r="H49" s="793"/>
      <c r="I49" s="1887" t="s">
        <v>1535</v>
      </c>
      <c r="J49" s="1892">
        <v>2018</v>
      </c>
      <c r="K49" s="1889" t="s">
        <v>1536</v>
      </c>
      <c r="L49" s="1893"/>
      <c r="O49" s="1894" t="s">
        <v>1042</v>
      </c>
      <c r="P49" s="1885" t="s">
        <v>1537</v>
      </c>
      <c r="Q49" s="1886">
        <f ca="1">C29</f>
        <v>2562</v>
      </c>
      <c r="R49" s="1886" t="s">
        <v>1530</v>
      </c>
    </row>
    <row r="50" spans="1:18" s="1842" customFormat="1" ht="13.5" thickBot="1">
      <c r="A50" s="1195"/>
      <c r="B50" s="1198"/>
      <c r="C50" s="1368"/>
      <c r="D50" s="1172"/>
      <c r="E50" s="1277" t="s">
        <v>1406</v>
      </c>
      <c r="F50" s="1278">
        <f ca="1">F7</f>
        <v>7758.13</v>
      </c>
      <c r="H50" s="793"/>
      <c r="I50" s="1887" t="s">
        <v>1538</v>
      </c>
      <c r="J50" s="1895">
        <f>SUMPRODUCT((I63:I65=J47)*(J62:L62=J48)*(J63:L65))</f>
        <v>60</v>
      </c>
      <c r="K50" s="1889" t="s">
        <v>1539</v>
      </c>
      <c r="L50" s="1893"/>
      <c r="M50" s="1896"/>
      <c r="O50" s="1894" t="s">
        <v>1043</v>
      </c>
      <c r="P50" s="1885" t="s">
        <v>1540</v>
      </c>
      <c r="Q50" s="1897" t="e">
        <f ca="1">J58</f>
        <v>#VALUE!</v>
      </c>
      <c r="R50" s="1886"/>
    </row>
    <row r="51" spans="1:18" s="1842" customFormat="1" ht="13.5" thickBot="1">
      <c r="A51" s="1196"/>
      <c r="B51" s="1198"/>
      <c r="C51" s="1199"/>
      <c r="D51" s="1172"/>
      <c r="E51" s="1200" t="s">
        <v>1407</v>
      </c>
      <c r="F51" s="348">
        <f ca="1">F8</f>
        <v>365</v>
      </c>
      <c r="I51" s="1898" t="s">
        <v>1541</v>
      </c>
      <c r="J51" s="1899">
        <f>IF(J49="",J50,J49+J50-YEAR('数据-取费表'!B2))</f>
        <v>60</v>
      </c>
      <c r="K51" s="1900" t="s">
        <v>1542</v>
      </c>
      <c r="L51" s="1901">
        <f ca="1">ROUND(-PV(INDIRECT("'数据-取费表'!h"&amp;$G$1),L48,(C39-C13*C76),0),0)</f>
        <v>5255</v>
      </c>
      <c r="M51" s="1902"/>
      <c r="O51" s="1894" t="s">
        <v>1044</v>
      </c>
      <c r="P51" s="1885" t="s">
        <v>1543</v>
      </c>
      <c r="Q51" s="1897">
        <f>J52</f>
        <v>0.09</v>
      </c>
      <c r="R51" s="1886"/>
    </row>
    <row r="52" spans="1:18" s="1842" customFormat="1" ht="13.5" thickBot="1">
      <c r="A52" s="1196"/>
      <c r="B52" s="1198"/>
      <c r="C52" s="1199"/>
      <c r="D52" s="1172"/>
      <c r="E52" s="1200" t="s">
        <v>1408</v>
      </c>
      <c r="F52" s="1275"/>
      <c r="I52" s="1903" t="s">
        <v>1544</v>
      </c>
      <c r="J52" s="1904">
        <v>0.09</v>
      </c>
      <c r="K52" s="1903" t="s">
        <v>1545</v>
      </c>
      <c r="L52" s="1904"/>
      <c r="O52" s="1894" t="s">
        <v>1045</v>
      </c>
      <c r="P52" s="1885" t="s">
        <v>1546</v>
      </c>
      <c r="Q52" s="1886">
        <f ca="1">J53</f>
        <v>46.85</v>
      </c>
      <c r="R52" s="1886" t="s">
        <v>1547</v>
      </c>
    </row>
    <row r="53" spans="1:18" s="1842" customFormat="1" ht="24.75" thickBot="1">
      <c r="A53" s="1405" t="s">
        <v>1137</v>
      </c>
      <c r="B53" s="1831" t="s">
        <v>1409</v>
      </c>
      <c r="C53" s="361">
        <f ca="1">ROUND(IF(F53="押一",F49*F51*F50/12*F11,IF(F53="押二",F49*F51*F50/12*2*F11,IF(F53="押三",F49*F51*F50/12*3*F11,C54*F11)))/10000,0)</f>
        <v>0</v>
      </c>
      <c r="D53" s="1824" t="s">
        <v>3029</v>
      </c>
      <c r="E53" s="358" t="s">
        <v>1411</v>
      </c>
      <c r="F53" s="1366"/>
      <c r="I53" s="1905" t="s">
        <v>1548</v>
      </c>
      <c r="J53" s="1906">
        <f ca="1">IF(M47="住宅",J51,IF(D1="——",MIN(J51,L48),IF(D1="在建（套用方法）",MIN(J51,L48-'数据-取费表'!B24),IF(D1="土地（套用方法）",MIN(J51,L48-'数据-取费表'!B20)))))</f>
        <v>46.85</v>
      </c>
      <c r="K53" s="3396" t="s">
        <v>1549</v>
      </c>
      <c r="L53" s="3397"/>
      <c r="O53" s="1884" t="s">
        <v>1046</v>
      </c>
      <c r="P53" s="1885" t="s">
        <v>1550</v>
      </c>
      <c r="Q53" s="1886">
        <f ca="1">Q47+Q48</f>
        <v>6712</v>
      </c>
      <c r="R53" s="1886" t="s">
        <v>1047</v>
      </c>
    </row>
    <row r="54" spans="1:18" s="1842" customFormat="1" ht="13.5" thickBot="1">
      <c r="A54" s="1406"/>
      <c r="B54" s="1825" t="s">
        <v>1388</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1551</v>
      </c>
      <c r="P54" s="1839"/>
      <c r="Q54" s="1839"/>
      <c r="R54" s="1839"/>
    </row>
    <row r="55" spans="1:18" s="1842" customFormat="1" ht="13.5" thickBot="1">
      <c r="A55" s="1333" t="s">
        <v>1075</v>
      </c>
      <c r="B55" s="1827" t="s">
        <v>1414</v>
      </c>
      <c r="C55" s="1334"/>
      <c r="D55" s="1824"/>
      <c r="E55" s="1832"/>
      <c r="F55" s="1907"/>
      <c r="I55" s="1910" t="s">
        <v>1552</v>
      </c>
      <c r="J55" s="1911" t="e">
        <f ca="1">ROUND(IF(J47="钢混",J57/J50,1-(1-2%)*(J50-J57)/J50),3)</f>
        <v>#VALUE!</v>
      </c>
      <c r="K55" s="1912" t="s">
        <v>1553</v>
      </c>
      <c r="L55" s="1913" t="s">
        <v>1554</v>
      </c>
      <c r="O55" s="1877" t="s">
        <v>1523</v>
      </c>
      <c r="P55" s="1878" t="s">
        <v>1524</v>
      </c>
      <c r="Q55" s="1879" t="s">
        <v>1525</v>
      </c>
      <c r="R55" s="1879" t="s">
        <v>1526</v>
      </c>
    </row>
    <row r="56" spans="1:18" s="1842" customFormat="1" ht="25.5" thickTop="1" thickBot="1">
      <c r="A56" s="1176">
        <v>2</v>
      </c>
      <c r="B56" s="1177" t="s">
        <v>1415</v>
      </c>
      <c r="C56" s="276">
        <f ca="1">C13</f>
        <v>0</v>
      </c>
      <c r="D56" s="1914"/>
      <c r="E56" s="1915"/>
      <c r="F56" s="1907"/>
      <c r="I56" s="1916" t="s">
        <v>1555</v>
      </c>
      <c r="J56" s="1917" t="s">
        <v>3145</v>
      </c>
      <c r="K56" s="1887" t="s">
        <v>1556</v>
      </c>
      <c r="L56" s="1890" t="str">
        <f ca="1">IF(L48&lt;J51,"——",L48-J53)</f>
        <v>——</v>
      </c>
      <c r="O56" s="1884" t="s">
        <v>1040</v>
      </c>
      <c r="P56" s="1885" t="s">
        <v>1529</v>
      </c>
      <c r="Q56" s="1886">
        <f ca="1">C40+J29</f>
        <v>6712</v>
      </c>
      <c r="R56" s="1886" t="s">
        <v>1530</v>
      </c>
    </row>
    <row r="57" spans="1:18" s="1842" customFormat="1" ht="24.75" thickBot="1">
      <c r="A57" s="1918"/>
      <c r="B57" s="1169" t="s">
        <v>1479</v>
      </c>
      <c r="C57" s="282">
        <f ca="1">C29</f>
        <v>2562</v>
      </c>
      <c r="D57" s="1919"/>
      <c r="E57" s="1920"/>
      <c r="F57" s="1921"/>
      <c r="I57" s="1922" t="s">
        <v>1557</v>
      </c>
      <c r="J57" s="1923" t="str">
        <f ca="1">IF(OR(M47="住宅",J51&lt;L48,J56="是"),"——",J51-L48)</f>
        <v>——</v>
      </c>
      <c r="K57" s="1887" t="s">
        <v>1558</v>
      </c>
      <c r="L57" s="1890" t="str">
        <f ca="1">IF(L48&lt;J51,"——",IF(L55="比较法",L49,IF(L55="基准地价",L50,L51)))</f>
        <v>——</v>
      </c>
      <c r="O57" s="1884" t="s">
        <v>1041</v>
      </c>
      <c r="P57" s="1885" t="s">
        <v>1559</v>
      </c>
      <c r="Q57" s="1886">
        <f ca="1">L60</f>
        <v>0</v>
      </c>
      <c r="R57" s="1886" t="s">
        <v>1560</v>
      </c>
    </row>
    <row r="58" spans="1:18" s="1842" customFormat="1" ht="24.75" thickBot="1">
      <c r="A58" s="360" t="s">
        <v>1030</v>
      </c>
      <c r="B58" s="1177" t="s">
        <v>1425</v>
      </c>
      <c r="C58" s="361">
        <f ca="1">ROUND(C59+C64+C65+C66,0)</f>
        <v>60</v>
      </c>
      <c r="D58" s="1179" t="s">
        <v>1426</v>
      </c>
      <c r="E58" s="1180"/>
      <c r="F58" s="1181"/>
      <c r="I58" s="1922" t="s">
        <v>1561</v>
      </c>
      <c r="J58" s="1924" t="e">
        <f ca="1">IF(J55&lt;0.4,0.4,J55)</f>
        <v>#VALUE!</v>
      </c>
      <c r="K58" s="1900" t="s">
        <v>1562</v>
      </c>
      <c r="L58" s="1890" t="e">
        <f ca="1">ROUND(POWER(1+L52,L47-L48)*(POWER(1+L52,L48)-1)/(POWER(1+L52,L47)-1),4)</f>
        <v>#DIV/0!</v>
      </c>
      <c r="O58" s="1894" t="s">
        <v>1042</v>
      </c>
      <c r="P58" s="1885" t="s">
        <v>1563</v>
      </c>
      <c r="Q58" s="1886">
        <f>IF(L55="比较法",L49,IF(L55="基准地价",L50,0))</f>
        <v>0</v>
      </c>
      <c r="R58" s="1886" t="s">
        <v>1530</v>
      </c>
    </row>
    <row r="59" spans="1:18" s="1842" customFormat="1" ht="24.75" thickBot="1">
      <c r="A59" s="1201" t="s">
        <v>1035</v>
      </c>
      <c r="B59" s="1169" t="s">
        <v>1430</v>
      </c>
      <c r="C59" s="24">
        <f ca="1">ROUND(IF(项目基本情况!B11="自然人",C48*F59,C60+C61+C62),1)</f>
        <v>21.8</v>
      </c>
      <c r="D59" s="1182" t="s">
        <v>1431</v>
      </c>
      <c r="E59" s="1183" t="s">
        <v>1432</v>
      </c>
      <c r="F59" s="368" t="str">
        <f ca="1">IF(项目基本情况!B11="企业","",IF(INDIRECT("'数据-取费表'!c"&amp;$G$1)="住宅",5%,IF(F49*F50*F51/12/(1+'数据-取费表'!C42)&gt;20000,12%,7%)))</f>
        <v/>
      </c>
      <c r="I59" s="1922" t="s">
        <v>1564</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1043</v>
      </c>
      <c r="P59" s="1885" t="s">
        <v>1565</v>
      </c>
      <c r="Q59" s="1897">
        <f>L52</f>
        <v>0</v>
      </c>
      <c r="R59" s="1886"/>
    </row>
    <row r="60" spans="1:18" s="1842" customFormat="1" ht="16.5" thickBot="1">
      <c r="A60" s="1201" t="s">
        <v>1034</v>
      </c>
      <c r="B60" s="1169" t="s">
        <v>1434</v>
      </c>
      <c r="C60" s="24">
        <f ca="1">IF(项目基本情况!B11="自然人","——",ROUND(C48*F60/(1+'数据-取费表'!C42),2))</f>
        <v>0</v>
      </c>
      <c r="D60" s="1183" t="s">
        <v>1435</v>
      </c>
      <c r="E60" s="1169" t="s">
        <v>1423</v>
      </c>
      <c r="F60" s="377">
        <f t="shared" ref="F60:F66" si="0">F32</f>
        <v>5.5000000000000007E-2</v>
      </c>
      <c r="I60" s="1925" t="s">
        <v>1566</v>
      </c>
      <c r="J60" s="1926" t="str">
        <f ca="1">IF(OR(M47="住宅",J51&lt;L48,J56="是"),"0",ROUND(J59/(1+J52)^J53,0))</f>
        <v>0</v>
      </c>
      <c r="K60" s="1927" t="s">
        <v>1567</v>
      </c>
      <c r="L60" s="1926">
        <f ca="1">IF(OR(M47="住宅",L48&lt;J51),0,ROUND(L57*(L58/L59-1),0))</f>
        <v>0</v>
      </c>
      <c r="O60" s="1894" t="s">
        <v>1044</v>
      </c>
      <c r="P60" s="1885" t="s">
        <v>1568</v>
      </c>
      <c r="Q60" s="1886" t="e">
        <f ca="1">L58</f>
        <v>#DIV/0!</v>
      </c>
      <c r="R60" s="1886" t="s">
        <v>1569</v>
      </c>
    </row>
    <row r="61" spans="1:18" s="1842" customFormat="1" ht="13.5" thickBot="1">
      <c r="A61" s="1201" t="s">
        <v>1493</v>
      </c>
      <c r="B61" s="1169" t="s">
        <v>1494</v>
      </c>
      <c r="C61" s="24">
        <f ca="1">IF(项目基本情况!B11="自然人","——",IF(D61="按租金收入计税",ROUND(C48*F61,2),IF(D61="按房产原值计税",ROUND(C57*F61*0.7,2),INDIRECT("'数据-取费表'!Aj"&amp;$G$1))))</f>
        <v>21.52</v>
      </c>
      <c r="D61" s="1828" t="s">
        <v>1439</v>
      </c>
      <c r="E61" s="1169" t="s">
        <v>1495</v>
      </c>
      <c r="F61" s="367">
        <f t="shared" si="0"/>
        <v>1.2E-2</v>
      </c>
      <c r="I61" s="1928"/>
      <c r="J61" s="1928"/>
      <c r="K61" s="1928"/>
      <c r="L61" s="1928"/>
      <c r="O61" s="1894" t="s">
        <v>1045</v>
      </c>
      <c r="P61" s="1885" t="str">
        <f>K59</f>
        <v>续建工期及建筑物耐用年限下的土地年期修正系数Kn</v>
      </c>
      <c r="Q61" s="1886" t="e">
        <f ca="1">L59</f>
        <v>#DIV/0!</v>
      </c>
      <c r="R61" s="1886" t="s">
        <v>1570</v>
      </c>
    </row>
    <row r="62" spans="1:18" s="1842" customFormat="1" ht="13.5" thickBot="1">
      <c r="A62" s="1201" t="s">
        <v>1496</v>
      </c>
      <c r="B62" s="1168" t="s">
        <v>1497</v>
      </c>
      <c r="C62" s="25">
        <f ca="1">IF(项目基本情况!B11="自然人","——",ROUND(F62*F63/10000,2))</f>
        <v>0.32</v>
      </c>
      <c r="D62" s="1184" t="s">
        <v>1498</v>
      </c>
      <c r="E62" s="1169" t="s">
        <v>1499</v>
      </c>
      <c r="F62" s="371">
        <f t="shared" si="0"/>
        <v>1.5</v>
      </c>
      <c r="I62" s="1929" t="s">
        <v>1571</v>
      </c>
      <c r="J62" s="1930" t="s">
        <v>1572</v>
      </c>
      <c r="K62" s="1930" t="s">
        <v>1573</v>
      </c>
      <c r="L62" s="1930" t="s">
        <v>1574</v>
      </c>
      <c r="M62" s="1931" t="s">
        <v>1575</v>
      </c>
      <c r="O62" s="1884" t="s">
        <v>1046</v>
      </c>
      <c r="P62" s="1885" t="s">
        <v>1576</v>
      </c>
      <c r="Q62" s="1886">
        <f ca="1">Q56+Q57</f>
        <v>6712</v>
      </c>
      <c r="R62" s="1886" t="s">
        <v>1047</v>
      </c>
    </row>
    <row r="63" spans="1:18" s="1842" customFormat="1" ht="13.5" thickBot="1">
      <c r="A63" s="372"/>
      <c r="B63" s="1175"/>
      <c r="C63" s="29"/>
      <c r="D63" s="1185"/>
      <c r="E63" s="1169" t="s">
        <v>1500</v>
      </c>
      <c r="F63" s="348">
        <f t="shared" ca="1" si="0"/>
        <v>2112</v>
      </c>
      <c r="I63" s="1929" t="s">
        <v>1577</v>
      </c>
      <c r="J63" s="1930">
        <v>70</v>
      </c>
      <c r="K63" s="1930">
        <v>50</v>
      </c>
      <c r="L63" s="1930">
        <v>80</v>
      </c>
      <c r="M63" s="1932">
        <v>0.02</v>
      </c>
      <c r="O63" s="1869" t="s">
        <v>1578</v>
      </c>
      <c r="P63" s="1839"/>
      <c r="Q63" s="1839"/>
      <c r="R63" s="1839"/>
    </row>
    <row r="64" spans="1:18" s="1842" customFormat="1" ht="13.5" thickBot="1">
      <c r="A64" s="1201" t="s">
        <v>1501</v>
      </c>
      <c r="B64" s="1169" t="s">
        <v>1502</v>
      </c>
      <c r="C64" s="24">
        <f ca="1">ROUND(C57*F64,1)</f>
        <v>38.4</v>
      </c>
      <c r="D64" s="1183" t="s">
        <v>1503</v>
      </c>
      <c r="E64" s="1169" t="s">
        <v>1495</v>
      </c>
      <c r="F64" s="374">
        <f t="shared" ca="1" si="0"/>
        <v>1.4999999999999999E-2</v>
      </c>
      <c r="I64" s="1929" t="s">
        <v>1579</v>
      </c>
      <c r="J64" s="1930">
        <v>50</v>
      </c>
      <c r="K64" s="1930">
        <v>35</v>
      </c>
      <c r="L64" s="1930">
        <v>60</v>
      </c>
      <c r="M64" s="1931">
        <v>0</v>
      </c>
      <c r="O64" s="1877" t="s">
        <v>1523</v>
      </c>
      <c r="P64" s="1878" t="s">
        <v>1524</v>
      </c>
      <c r="Q64" s="1879" t="s">
        <v>1525</v>
      </c>
      <c r="R64" s="1879" t="s">
        <v>1526</v>
      </c>
    </row>
    <row r="65" spans="1:18" s="1842" customFormat="1" ht="13.5" thickBot="1">
      <c r="A65" s="1201" t="s">
        <v>1504</v>
      </c>
      <c r="B65" s="1169" t="s">
        <v>1454</v>
      </c>
      <c r="C65" s="24">
        <f ca="1">ROUND(C56*F65,1)</f>
        <v>0</v>
      </c>
      <c r="D65" s="1183" t="s">
        <v>1455</v>
      </c>
      <c r="E65" s="1169" t="s">
        <v>1456</v>
      </c>
      <c r="F65" s="376">
        <f t="shared" ca="1" si="0"/>
        <v>1.5E-3</v>
      </c>
      <c r="I65" s="1929" t="s">
        <v>1580</v>
      </c>
      <c r="J65" s="1930">
        <v>40</v>
      </c>
      <c r="K65" s="1930">
        <v>30</v>
      </c>
      <c r="L65" s="1930">
        <v>50</v>
      </c>
      <c r="M65" s="1932">
        <v>0.02</v>
      </c>
      <c r="O65" s="1884" t="s">
        <v>1040</v>
      </c>
      <c r="P65" s="1885" t="s">
        <v>1581</v>
      </c>
      <c r="Q65" s="1886">
        <f ca="1">C40+J29</f>
        <v>6712</v>
      </c>
      <c r="R65" s="1886" t="s">
        <v>1530</v>
      </c>
    </row>
    <row r="66" spans="1:18" s="1842" customFormat="1" ht="16.5" thickBot="1">
      <c r="A66" s="1201" t="s">
        <v>1505</v>
      </c>
      <c r="B66" s="1169" t="s">
        <v>1440</v>
      </c>
      <c r="C66" s="24">
        <f ca="1">ROUND(C48*F66,1)</f>
        <v>0</v>
      </c>
      <c r="D66" s="1183" t="s">
        <v>1506</v>
      </c>
      <c r="E66" s="1169" t="s">
        <v>1423</v>
      </c>
      <c r="F66" s="357">
        <f t="shared" ca="1" si="0"/>
        <v>1.4999999999999999E-2</v>
      </c>
      <c r="O66" s="1884" t="s">
        <v>1041</v>
      </c>
      <c r="P66" s="1885" t="s">
        <v>1559</v>
      </c>
      <c r="Q66" s="1886">
        <f ca="1">L60</f>
        <v>0</v>
      </c>
      <c r="R66" s="1886" t="s">
        <v>1582</v>
      </c>
    </row>
    <row r="67" spans="1:18" s="1842" customFormat="1" ht="16.5" thickBot="1">
      <c r="A67" s="1176" t="s">
        <v>1031</v>
      </c>
      <c r="B67" s="1186" t="s">
        <v>1464</v>
      </c>
      <c r="C67" s="361">
        <f ca="1">C48-C58</f>
        <v>-60</v>
      </c>
      <c r="D67" s="1182" t="s">
        <v>1465</v>
      </c>
      <c r="E67" s="1187"/>
      <c r="F67" s="1188"/>
      <c r="O67" s="1894" t="s">
        <v>1042</v>
      </c>
      <c r="P67" s="1885" t="s">
        <v>1563</v>
      </c>
      <c r="Q67" s="1933">
        <f ca="1">L51</f>
        <v>5255</v>
      </c>
      <c r="R67" s="1886" t="s">
        <v>1583</v>
      </c>
    </row>
    <row r="68" spans="1:18" s="1842" customFormat="1" ht="16.5" thickBot="1">
      <c r="A68" s="1166" t="s">
        <v>1032</v>
      </c>
      <c r="B68" s="1167" t="s">
        <v>1486</v>
      </c>
      <c r="C68" s="346">
        <f ca="1">ROUND(C67*(1-((1+F70)/(1+F68))^F69)/(F68-F70),0)</f>
        <v>-1078</v>
      </c>
      <c r="D68" s="1184" t="s">
        <v>1470</v>
      </c>
      <c r="E68" s="1169" t="s">
        <v>1471</v>
      </c>
      <c r="F68" s="357">
        <f ca="1">F40</f>
        <v>0.05</v>
      </c>
      <c r="O68" s="1894" t="s">
        <v>1043</v>
      </c>
      <c r="P68" s="1934" t="s">
        <v>1584</v>
      </c>
      <c r="Q68" s="1886">
        <f ca="1">ROUND(Q69-Q70*Q71,0)</f>
        <v>248</v>
      </c>
      <c r="R68" s="1886" t="s">
        <v>1051</v>
      </c>
    </row>
    <row r="69" spans="1:18" s="1842" customFormat="1" ht="13.5" thickBot="1">
      <c r="A69" s="1170"/>
      <c r="B69" s="1171"/>
      <c r="C69" s="351"/>
      <c r="D69" s="1189" t="s">
        <v>1474</v>
      </c>
      <c r="E69" s="1169" t="s">
        <v>1475</v>
      </c>
      <c r="F69" s="379">
        <f ca="1">F41</f>
        <v>46.85</v>
      </c>
      <c r="O69" s="1894" t="s">
        <v>1048</v>
      </c>
      <c r="P69" s="1934" t="s">
        <v>1585</v>
      </c>
      <c r="Q69" s="1886">
        <f ca="1">C39</f>
        <v>248</v>
      </c>
      <c r="R69" s="1886" t="s">
        <v>1530</v>
      </c>
    </row>
    <row r="70" spans="1:18" s="1842" customFormat="1" ht="13.5" thickBot="1">
      <c r="A70" s="1173"/>
      <c r="B70" s="1174"/>
      <c r="C70" s="355"/>
      <c r="D70" s="1185"/>
      <c r="E70" s="1169" t="s">
        <v>1478</v>
      </c>
      <c r="F70" s="1275"/>
      <c r="O70" s="1894" t="s">
        <v>1049</v>
      </c>
      <c r="P70" s="1934" t="s">
        <v>1586</v>
      </c>
      <c r="Q70" s="1886">
        <f ca="1">C13</f>
        <v>0</v>
      </c>
      <c r="R70" s="1886" t="s">
        <v>1530</v>
      </c>
    </row>
    <row r="71" spans="1:18" s="1842" customFormat="1" ht="13.5" thickBot="1">
      <c r="A71" s="1190" t="s">
        <v>1033</v>
      </c>
      <c r="B71" s="1191" t="s">
        <v>1488</v>
      </c>
      <c r="C71" s="382">
        <f ca="1">ROUND(C68*10000/F71,0)</f>
        <v>-1390</v>
      </c>
      <c r="D71" s="1192" t="s">
        <v>1489</v>
      </c>
      <c r="E71" s="1193" t="s">
        <v>1490</v>
      </c>
      <c r="F71" s="385">
        <f ca="1">F43</f>
        <v>7758.13</v>
      </c>
      <c r="O71" s="1894" t="s">
        <v>1050</v>
      </c>
      <c r="P71" s="1934" t="s">
        <v>1587</v>
      </c>
      <c r="Q71" s="1897">
        <f ca="1">C76</f>
        <v>8.5000000000000006E-2</v>
      </c>
      <c r="R71" s="1886"/>
    </row>
    <row r="72" spans="1:18" s="1842" customFormat="1" ht="13.5" thickBot="1">
      <c r="B72" s="796"/>
      <c r="C72" s="796"/>
      <c r="O72" s="1894" t="s">
        <v>1044</v>
      </c>
      <c r="P72" s="1885" t="s">
        <v>1565</v>
      </c>
      <c r="Q72" s="1897">
        <f>L52</f>
        <v>0</v>
      </c>
      <c r="R72" s="1886"/>
    </row>
    <row r="73" spans="1:18" ht="16.5" thickBot="1">
      <c r="A73" s="1842"/>
      <c r="B73" s="796"/>
      <c r="C73" s="796"/>
      <c r="D73" s="1842"/>
      <c r="E73" s="1842"/>
      <c r="F73" s="1842"/>
      <c r="O73" s="1894" t="s">
        <v>1045</v>
      </c>
      <c r="P73" s="1885" t="s">
        <v>1568</v>
      </c>
      <c r="Q73" s="1886" t="e">
        <f ca="1">L58</f>
        <v>#DIV/0!</v>
      </c>
      <c r="R73" s="1886" t="s">
        <v>1569</v>
      </c>
    </row>
    <row r="74" spans="1:18" ht="13.5" thickBot="1">
      <c r="A74" s="1842"/>
      <c r="B74" s="317" t="s">
        <v>1588</v>
      </c>
      <c r="C74" s="1936"/>
      <c r="D74" s="1842"/>
      <c r="E74" s="1842"/>
      <c r="F74" s="1842"/>
      <c r="O74" s="1894" t="s">
        <v>1052</v>
      </c>
      <c r="P74" s="1885" t="str">
        <f>K59</f>
        <v>续建工期及建筑物耐用年限下的土地年期修正系数Kn</v>
      </c>
      <c r="Q74" s="1886" t="e">
        <f ca="1">L59</f>
        <v>#DIV/0!</v>
      </c>
      <c r="R74" s="1886" t="s">
        <v>1570</v>
      </c>
    </row>
    <row r="75" spans="1:18" ht="13.5" thickBot="1">
      <c r="A75" s="1842"/>
      <c r="B75" s="386" t="s">
        <v>1507</v>
      </c>
      <c r="C75" s="387">
        <f ca="1">ROUND(C13*C76,0)</f>
        <v>0</v>
      </c>
      <c r="D75" s="1842"/>
      <c r="E75" s="1842"/>
      <c r="F75" s="1842"/>
      <c r="K75" s="1868"/>
      <c r="L75" s="1842"/>
      <c r="O75" s="1884" t="s">
        <v>1046</v>
      </c>
      <c r="P75" s="1885" t="s">
        <v>1550</v>
      </c>
      <c r="Q75" s="1886">
        <f ca="1">Q65+Q66</f>
        <v>6712</v>
      </c>
      <c r="R75" s="1886" t="s">
        <v>1047</v>
      </c>
    </row>
    <row r="76" spans="1:18">
      <c r="B76" s="388" t="s">
        <v>1508</v>
      </c>
      <c r="C76" s="389">
        <f ca="1">INDIRECT("'数据-取费表'!j"&amp;$G$1)</f>
        <v>8.5000000000000006E-2</v>
      </c>
      <c r="I76" s="1842"/>
      <c r="J76" s="1842"/>
      <c r="K76" s="1868"/>
      <c r="L76" s="1842"/>
    </row>
    <row r="77" spans="1:18">
      <c r="B77" s="390" t="s">
        <v>1509</v>
      </c>
      <c r="C77" s="391"/>
      <c r="I77" s="1842"/>
      <c r="J77" s="1842"/>
      <c r="K77" s="1868"/>
      <c r="L77" s="1842"/>
    </row>
    <row r="78" spans="1:18">
      <c r="B78" s="314" t="s">
        <v>1510</v>
      </c>
      <c r="C78" s="392"/>
    </row>
    <row r="79" spans="1:18">
      <c r="B79" s="386" t="s">
        <v>1511</v>
      </c>
      <c r="C79" s="318">
        <f ca="1">1-C80</f>
        <v>1</v>
      </c>
    </row>
    <row r="80" spans="1:18">
      <c r="B80" s="386" t="s">
        <v>1512</v>
      </c>
      <c r="C80" s="318">
        <f ca="1">ROUND(C75/C39,3)</f>
        <v>0</v>
      </c>
    </row>
    <row r="81" spans="2:3">
      <c r="B81" s="314" t="s">
        <v>1513</v>
      </c>
      <c r="C81" s="282"/>
    </row>
    <row r="82" spans="2:3">
      <c r="B82" s="317" t="s">
        <v>1514</v>
      </c>
      <c r="C82" s="319">
        <f ca="1">1-C83</f>
        <v>1</v>
      </c>
    </row>
    <row r="83" spans="2:3">
      <c r="B83" s="317" t="s">
        <v>1515</v>
      </c>
      <c r="C83" s="318">
        <f ca="1">ROUND(C13/C40,3)</f>
        <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4" priority="56">
      <formula>$L$48&gt;$J$51</formula>
    </cfRule>
  </conditionalFormatting>
  <conditionalFormatting sqref="I55 I60">
    <cfRule type="expression" dxfId="113" priority="57">
      <formula>$J$51&gt;$L$48</formula>
    </cfRule>
  </conditionalFormatting>
  <conditionalFormatting sqref="C11">
    <cfRule type="expression" dxfId="112" priority="3">
      <formula>$F$10="自定义"</formula>
    </cfRule>
  </conditionalFormatting>
  <conditionalFormatting sqref="J11">
    <cfRule type="expression" dxfId="111" priority="2">
      <formula>$M$10="自定义"</formula>
    </cfRule>
  </conditionalFormatting>
  <conditionalFormatting sqref="C54">
    <cfRule type="expression" dxfId="11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1590</v>
      </c>
      <c r="B1" s="782"/>
      <c r="C1" s="1837"/>
      <c r="D1" s="1820"/>
      <c r="E1" s="1821" t="s">
        <v>1387</v>
      </c>
      <c r="F1" s="1283" t="b">
        <f>J53</f>
        <v>0</v>
      </c>
      <c r="G1" s="1836">
        <f>MATCH(C1,'数据-取费表'!A6:A16,0)+5</f>
        <v>12</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1591</v>
      </c>
      <c r="B2" s="1844" t="e">
        <f ca="1">ROUND(D2/10000,0)</f>
        <v>#DIV/0!</v>
      </c>
      <c r="C2" s="1845" t="s">
        <v>1592</v>
      </c>
      <c r="D2" s="1938" t="e">
        <f ca="1">C40+J29+L46</f>
        <v>#DIV/0!</v>
      </c>
      <c r="E2" s="1846" t="s">
        <v>1593</v>
      </c>
      <c r="F2" s="1847"/>
      <c r="G2" s="1848"/>
      <c r="H2" s="1840"/>
      <c r="I2" s="1840"/>
      <c r="J2" s="1840"/>
      <c r="K2" s="1841"/>
      <c r="L2" s="1840"/>
      <c r="M2" s="1840"/>
    </row>
    <row r="3" spans="1:37" ht="18" customHeight="1" thickBot="1">
      <c r="A3" s="1849" t="s">
        <v>1594</v>
      </c>
      <c r="B3" s="1850">
        <f ca="1">IF(ISERROR(D2/F43),0,ROUND(D2/F43,0))</f>
        <v>0</v>
      </c>
      <c r="C3" s="1845" t="s">
        <v>1595</v>
      </c>
      <c r="D3" s="1845"/>
      <c r="E3" s="1846"/>
      <c r="F3" s="1847"/>
      <c r="G3" s="1848"/>
      <c r="H3" s="744" t="s">
        <v>1589</v>
      </c>
      <c r="I3" s="1840"/>
      <c r="J3" s="1840"/>
      <c r="K3" s="1841"/>
      <c r="L3" s="1840"/>
      <c r="M3" s="1840"/>
    </row>
    <row r="4" spans="1:37" ht="18" customHeight="1">
      <c r="A4" s="340" t="s">
        <v>1596</v>
      </c>
      <c r="B4" s="341" t="s">
        <v>1597</v>
      </c>
      <c r="C4" s="341" t="s">
        <v>1598</v>
      </c>
      <c r="D4" s="341" t="s">
        <v>1599</v>
      </c>
      <c r="E4" s="342" t="s">
        <v>1600</v>
      </c>
      <c r="F4" s="343"/>
      <c r="G4" s="1851"/>
      <c r="H4" s="340" t="s">
        <v>1596</v>
      </c>
      <c r="I4" s="341" t="s">
        <v>1597</v>
      </c>
      <c r="J4" s="341" t="s">
        <v>1598</v>
      </c>
      <c r="K4" s="341" t="s">
        <v>1599</v>
      </c>
      <c r="L4" s="342" t="s">
        <v>1600</v>
      </c>
      <c r="M4" s="343"/>
    </row>
    <row r="5" spans="1:37" ht="18" customHeight="1">
      <c r="A5" s="344">
        <v>1</v>
      </c>
      <c r="B5" s="345" t="s">
        <v>1601</v>
      </c>
      <c r="C5" s="1292">
        <f ca="1">C6+C10+C12</f>
        <v>0</v>
      </c>
      <c r="D5" s="1822" t="s">
        <v>1602</v>
      </c>
      <c r="E5" s="1293"/>
      <c r="F5" s="1294"/>
      <c r="G5" s="1851"/>
      <c r="H5" s="344">
        <v>1</v>
      </c>
      <c r="I5" s="345" t="s">
        <v>1601</v>
      </c>
      <c r="J5" s="1292">
        <f ca="1">J6+J10+J12</f>
        <v>0</v>
      </c>
      <c r="K5" s="1822" t="s">
        <v>1602</v>
      </c>
      <c r="L5" s="1293"/>
      <c r="M5" s="1294"/>
    </row>
    <row r="6" spans="1:37" ht="18" customHeight="1">
      <c r="A6" s="1291" t="s">
        <v>1035</v>
      </c>
      <c r="B6" s="3398" t="s">
        <v>1403</v>
      </c>
      <c r="C6" s="1296">
        <f ca="1">ROUND(F6*F8*F7*(1-F9),0)</f>
        <v>0</v>
      </c>
      <c r="D6" s="164" t="s">
        <v>3023</v>
      </c>
      <c r="E6" s="347" t="s">
        <v>1405</v>
      </c>
      <c r="F6" s="348">
        <f ca="1">INDIRECT("'数据-取费表'!u"&amp;$G$1)</f>
        <v>0</v>
      </c>
      <c r="G6" s="1851"/>
      <c r="H6" s="1291" t="s">
        <v>1035</v>
      </c>
      <c r="I6" s="3398" t="s">
        <v>1403</v>
      </c>
      <c r="J6" s="346">
        <f ca="1">ROUND(M6*M8*M7*(1-M9),0)</f>
        <v>0</v>
      </c>
      <c r="K6" s="1834" t="s">
        <v>3026</v>
      </c>
      <c r="L6" s="347" t="s">
        <v>1405</v>
      </c>
      <c r="M6" s="348">
        <f ca="1">INDIRECT("'数据-取费表'!z"&amp;$G$1)</f>
        <v>0</v>
      </c>
    </row>
    <row r="7" spans="1:37" ht="18" customHeight="1">
      <c r="A7" s="1295"/>
      <c r="B7" s="3399"/>
      <c r="C7" s="1297"/>
      <c r="D7" s="352"/>
      <c r="E7" s="1298" t="s">
        <v>1406</v>
      </c>
      <c r="F7" s="348">
        <f ca="1">IF(INDIRECT("'数据-取费表'!ah"&amp;$G$1)="",INDIRECT("'数据-取费表'!k"&amp;$G$1),INDIRECT("'数据-取费表'!ah"&amp;$G$1))</f>
        <v>0</v>
      </c>
      <c r="G7" s="1851"/>
      <c r="H7" s="349"/>
      <c r="I7" s="3399"/>
      <c r="J7" s="351"/>
      <c r="K7" s="352"/>
      <c r="L7" s="347" t="s">
        <v>1406</v>
      </c>
      <c r="M7" s="348">
        <f ca="1">F7</f>
        <v>0</v>
      </c>
    </row>
    <row r="8" spans="1:37" ht="18" customHeight="1">
      <c r="A8" s="349"/>
      <c r="B8" s="3399"/>
      <c r="C8" s="351"/>
      <c r="D8" s="352"/>
      <c r="E8" s="347" t="s">
        <v>1407</v>
      </c>
      <c r="F8" s="348">
        <f ca="1">INDIRECT("'数据-取费表'!ai"&amp;$G$1)</f>
        <v>0</v>
      </c>
      <c r="G8" s="1851"/>
      <c r="H8" s="349"/>
      <c r="I8" s="3399"/>
      <c r="J8" s="351"/>
      <c r="K8" s="352"/>
      <c r="L8" s="347" t="s">
        <v>1407</v>
      </c>
      <c r="M8" s="348">
        <f ca="1">INDIRECT("'数据-取费表'!ai"&amp;$G$1)</f>
        <v>0</v>
      </c>
    </row>
    <row r="9" spans="1:37" ht="18" customHeight="1">
      <c r="A9" s="349"/>
      <c r="B9" s="3400"/>
      <c r="C9" s="351"/>
      <c r="D9" s="352"/>
      <c r="E9" s="347" t="s">
        <v>1408</v>
      </c>
      <c r="F9" s="357">
        <f ca="1">INDIRECT("'数据-取费表'!w"&amp;$G$1)</f>
        <v>0</v>
      </c>
      <c r="G9" s="1851"/>
      <c r="H9" s="349"/>
      <c r="I9" s="3400"/>
      <c r="J9" s="351"/>
      <c r="K9" s="352"/>
      <c r="L9" s="358" t="s">
        <v>1408</v>
      </c>
      <c r="M9" s="359">
        <f ca="1">INDIRECT("'数据-取费表'!ab"&amp;$G$1)</f>
        <v>0</v>
      </c>
    </row>
    <row r="10" spans="1:37" ht="18" customHeight="1">
      <c r="A10" s="1291" t="s">
        <v>1039</v>
      </c>
      <c r="B10" s="1823" t="s">
        <v>1409</v>
      </c>
      <c r="C10" s="361">
        <f ca="1">ROUND(IF(F10="押一",F6*F8*F7/12*F11,IF(F10="押二",F6*F8*F7/12*2*F11,IF(F10="押三",F6*F8*F7/12*3*F11,C11*F11))),0)</f>
        <v>0</v>
      </c>
      <c r="D10" s="1824" t="s">
        <v>3024</v>
      </c>
      <c r="E10" s="358" t="s">
        <v>1411</v>
      </c>
      <c r="F10" s="1366"/>
      <c r="G10" s="1851"/>
      <c r="H10" s="1291" t="s">
        <v>1039</v>
      </c>
      <c r="I10" s="1823" t="s">
        <v>1409</v>
      </c>
      <c r="J10" s="346">
        <f ca="1">ROUND(IF(M10="押一",M6*M8*M7/12*M11,IF(M10="押二",M6*M8*M7/12*2*M11,IF(M10="押三",M6*M8*M7/12*3*M11,J11*M11))),0)</f>
        <v>0</v>
      </c>
      <c r="K10" s="1835" t="s">
        <v>3025</v>
      </c>
      <c r="L10" s="358" t="s">
        <v>1411</v>
      </c>
      <c r="M10" s="1366"/>
    </row>
    <row r="11" spans="1:37" ht="18" customHeight="1">
      <c r="A11" s="353"/>
      <c r="B11" s="1825" t="s">
        <v>1603</v>
      </c>
      <c r="C11" s="1178"/>
      <c r="D11" s="352"/>
      <c r="E11" s="358" t="s">
        <v>1413</v>
      </c>
      <c r="F11" s="359">
        <f ca="1">'数据-取费表'!B39</f>
        <v>1.4999999999999999E-2</v>
      </c>
      <c r="G11" s="1851"/>
      <c r="H11" s="1299"/>
      <c r="I11" s="1825" t="s">
        <v>1604</v>
      </c>
      <c r="J11" s="1178"/>
      <c r="K11" s="748"/>
      <c r="L11" s="358" t="s">
        <v>1413</v>
      </c>
      <c r="M11" s="1056">
        <f ca="1">'数据-取费表'!B39</f>
        <v>1.4999999999999999E-2</v>
      </c>
    </row>
    <row r="12" spans="1:37" ht="18" customHeight="1" thickBot="1">
      <c r="A12" s="1333" t="s">
        <v>1075</v>
      </c>
      <c r="B12" s="1827" t="s">
        <v>1414</v>
      </c>
      <c r="C12" s="1334"/>
      <c r="D12" s="1335"/>
      <c r="E12" s="1340"/>
      <c r="F12" s="1336"/>
      <c r="G12" s="1851"/>
      <c r="H12" s="1333" t="s">
        <v>1075</v>
      </c>
      <c r="I12" s="1827" t="s">
        <v>1414</v>
      </c>
      <c r="J12" s="1334"/>
      <c r="K12" s="1348"/>
      <c r="L12" s="1340"/>
      <c r="M12" s="1349"/>
    </row>
    <row r="13" spans="1:37" ht="18" customHeight="1" thickTop="1">
      <c r="A13" s="1329">
        <v>2</v>
      </c>
      <c r="B13" s="1330" t="s">
        <v>1415</v>
      </c>
      <c r="C13" s="355">
        <f ca="1">ROUND(C29*F13,0)</f>
        <v>0</v>
      </c>
      <c r="D13" s="1331" t="s">
        <v>1416</v>
      </c>
      <c r="E13" s="1331" t="s">
        <v>1417</v>
      </c>
      <c r="F13" s="1332">
        <f ca="1">INDIRECT("'数据-取费表'!y"&amp;$G$1)</f>
        <v>0</v>
      </c>
      <c r="G13" s="1851"/>
      <c r="H13" s="1329">
        <v>2</v>
      </c>
      <c r="I13" s="1330" t="s">
        <v>1415</v>
      </c>
      <c r="J13" s="1290">
        <f ca="1">ROUND(J14*J15,0)</f>
        <v>0</v>
      </c>
      <c r="K13" s="1337" t="s">
        <v>1416</v>
      </c>
      <c r="L13" s="1852"/>
      <c r="M13" s="1853"/>
    </row>
    <row r="14" spans="1:37" ht="18" customHeight="1">
      <c r="A14" s="1201" t="s">
        <v>1034</v>
      </c>
      <c r="B14" s="347" t="s">
        <v>1418</v>
      </c>
      <c r="C14" s="363">
        <f ca="1">ROUND(INDIRECT("'数据-取费表'!l"&amp;$G$1)*F43+'数据-取费表'!L14*INDIRECT("'数据-取费表'!S"&amp;$G$1),0)</f>
        <v>0</v>
      </c>
      <c r="D14" s="1800" t="s">
        <v>1419</v>
      </c>
      <c r="E14" s="1794"/>
      <c r="F14" s="364"/>
      <c r="G14" s="1851"/>
      <c r="H14" s="1201" t="s">
        <v>1035</v>
      </c>
      <c r="I14" s="347" t="s">
        <v>1420</v>
      </c>
      <c r="J14" s="24">
        <f ca="1">C29</f>
        <v>0</v>
      </c>
      <c r="K14" s="15"/>
      <c r="L14" s="979"/>
      <c r="M14" s="980"/>
    </row>
    <row r="15" spans="1:37" s="1858" customFormat="1" ht="18" customHeight="1" thickBot="1">
      <c r="A15" s="1201" t="s">
        <v>1036</v>
      </c>
      <c r="B15" s="347" t="s">
        <v>1421</v>
      </c>
      <c r="C15" s="24">
        <f ca="1">ROUND(C14*F15,0)</f>
        <v>0</v>
      </c>
      <c r="D15" s="365" t="s">
        <v>1422</v>
      </c>
      <c r="E15" s="365" t="s">
        <v>1423</v>
      </c>
      <c r="F15" s="366">
        <f>'数据-取费表'!B33</f>
        <v>0.03</v>
      </c>
      <c r="G15" s="1854"/>
      <c r="H15" s="1339" t="s">
        <v>1039</v>
      </c>
      <c r="I15" s="1340" t="s">
        <v>1417</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1389</v>
      </c>
      <c r="B16" s="347" t="s">
        <v>1424</v>
      </c>
      <c r="C16" s="24">
        <f ca="1">ROUND(INDIRECT("'数据-取费表'!l"&amp;$G$1)*F43*F16,0)</f>
        <v>0</v>
      </c>
      <c r="D16" s="347" t="s">
        <v>1422</v>
      </c>
      <c r="E16" s="347" t="s">
        <v>1423</v>
      </c>
      <c r="F16" s="367">
        <f ca="1">IF(INDIRECT("'数据-取费表'!c"&amp;$G$1)="住宅",'数据-取费表'!B34,0)</f>
        <v>0</v>
      </c>
      <c r="G16" s="1851"/>
      <c r="H16" s="1329" t="s">
        <v>1030</v>
      </c>
      <c r="I16" s="1330" t="s">
        <v>1425</v>
      </c>
      <c r="J16" s="355">
        <f ca="1">ROUND(J17+J22+J23+J24,0)</f>
        <v>0</v>
      </c>
      <c r="K16" s="1337" t="s">
        <v>1426</v>
      </c>
      <c r="L16" s="1338"/>
      <c r="M16" s="1294"/>
    </row>
    <row r="17" spans="1:37" s="1858" customFormat="1" ht="18" customHeight="1">
      <c r="A17" s="1201" t="s">
        <v>1390</v>
      </c>
      <c r="B17" s="347" t="s">
        <v>1427</v>
      </c>
      <c r="C17" s="24">
        <f ca="1">ROUND(F17*(F43+INDIRECT("'数据-取费表'!S"&amp;$G$1)),0)</f>
        <v>0</v>
      </c>
      <c r="D17" s="347" t="s">
        <v>1428</v>
      </c>
      <c r="E17" s="347" t="s">
        <v>1429</v>
      </c>
      <c r="F17" s="26">
        <f>'数据-取费表'!B35</f>
        <v>200</v>
      </c>
      <c r="G17" s="1854"/>
      <c r="H17" s="1201" t="s">
        <v>1035</v>
      </c>
      <c r="I17" s="347" t="s">
        <v>1430</v>
      </c>
      <c r="J17" s="24">
        <f ca="1">ROUND(IF(项目基本情况!B11="自然人",J5*M17,J18+J19+J20),0)</f>
        <v>0</v>
      </c>
      <c r="K17" s="1800" t="s">
        <v>1431</v>
      </c>
      <c r="L17" s="1798" t="s">
        <v>1432</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1391</v>
      </c>
      <c r="B18" s="347" t="s">
        <v>1433</v>
      </c>
      <c r="C18" s="24">
        <f ca="1">ROUND(C14*F18,0)</f>
        <v>0</v>
      </c>
      <c r="D18" s="347" t="s">
        <v>1422</v>
      </c>
      <c r="E18" s="347" t="s">
        <v>1423</v>
      </c>
      <c r="F18" s="367">
        <f>'数据-取费表'!B36</f>
        <v>1.4999999999999999E-2</v>
      </c>
      <c r="G18" s="1854"/>
      <c r="H18" s="1201" t="s">
        <v>1034</v>
      </c>
      <c r="I18" s="347" t="s">
        <v>1434</v>
      </c>
      <c r="J18" s="24">
        <f ca="1">ROUND(J5*M18/(1+'数据-取费表'!C42),0)</f>
        <v>0</v>
      </c>
      <c r="K18" s="1798" t="s">
        <v>1435</v>
      </c>
      <c r="L18" s="347" t="s">
        <v>1423</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1035</v>
      </c>
      <c r="B19" s="347" t="s">
        <v>1436</v>
      </c>
      <c r="C19" s="24">
        <f ca="1">SUM(C14:C18)</f>
        <v>0</v>
      </c>
      <c r="D19" s="140" t="s">
        <v>1437</v>
      </c>
      <c r="E19" s="1818"/>
      <c r="F19" s="26"/>
      <c r="G19" s="1851"/>
      <c r="H19" s="1201" t="s">
        <v>1036</v>
      </c>
      <c r="I19" s="347" t="s">
        <v>1438</v>
      </c>
      <c r="J19" s="24">
        <f ca="1">IF(K19="按租金收入计税",ROUND(J5*M19,0),ROUND(C29*M19*0.7,0))</f>
        <v>0</v>
      </c>
      <c r="K19" s="1828" t="s">
        <v>1439</v>
      </c>
      <c r="L19" s="347" t="s">
        <v>1423</v>
      </c>
      <c r="M19" s="367">
        <f>IF(K19="按租金收入计税",'数据-取费表'!B51,'数据-取费表'!B50)</f>
        <v>1.2E-2</v>
      </c>
    </row>
    <row r="20" spans="1:37" s="1858" customFormat="1" ht="18" customHeight="1">
      <c r="A20" s="1201" t="s">
        <v>1039</v>
      </c>
      <c r="B20" s="347" t="s">
        <v>1440</v>
      </c>
      <c r="C20" s="24">
        <f ca="1">ROUND(C19*F20,0)</f>
        <v>0</v>
      </c>
      <c r="D20" s="369" t="s">
        <v>1441</v>
      </c>
      <c r="E20" s="347" t="s">
        <v>1423</v>
      </c>
      <c r="F20" s="367">
        <f>'数据-取费表'!B37</f>
        <v>0.02</v>
      </c>
      <c r="G20" s="1854"/>
      <c r="H20" s="1201" t="s">
        <v>1389</v>
      </c>
      <c r="I20" s="164" t="s">
        <v>1442</v>
      </c>
      <c r="J20" s="25">
        <f ca="1">ROUND(M20*M21,0)</f>
        <v>0</v>
      </c>
      <c r="K20" s="370" t="s">
        <v>1443</v>
      </c>
      <c r="L20" s="347" t="s">
        <v>1444</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1075</v>
      </c>
      <c r="B21" s="347" t="s">
        <v>1445</v>
      </c>
      <c r="C21" s="24" t="s">
        <v>1</v>
      </c>
      <c r="D21" s="369" t="s">
        <v>1446</v>
      </c>
      <c r="E21" s="347" t="s">
        <v>1447</v>
      </c>
      <c r="F21" s="367">
        <f>'数据-取费表'!B38</f>
        <v>0.02</v>
      </c>
      <c r="G21" s="1854"/>
      <c r="H21" s="372"/>
      <c r="I21" s="356"/>
      <c r="J21" s="29"/>
      <c r="K21" s="373"/>
      <c r="L21" s="347" t="s">
        <v>1448</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1392</v>
      </c>
      <c r="B22" s="347" t="s">
        <v>1449</v>
      </c>
      <c r="C22" s="24"/>
      <c r="D22" s="140" t="str">
        <f>IF(F23&lt;=1,"单利计息。","复利计息。")&amp;"建造成本、管理费用、销售费用产生的利息。"</f>
        <v>复利计息。建造成本、管理费用、销售费用产生的利息。</v>
      </c>
      <c r="E22" s="1818"/>
      <c r="F22" s="26"/>
      <c r="G22" s="1851"/>
      <c r="H22" s="1201" t="s">
        <v>1039</v>
      </c>
      <c r="I22" s="347" t="s">
        <v>1450</v>
      </c>
      <c r="J22" s="24">
        <f ca="1">ROUND(J14*M22,0)</f>
        <v>0</v>
      </c>
      <c r="K22" s="1798" t="s">
        <v>1451</v>
      </c>
      <c r="L22" s="347" t="s">
        <v>1423</v>
      </c>
      <c r="M22" s="374">
        <f ca="1">INDIRECT("'数据-取费表'!Ak"&amp;$G$1)</f>
        <v>0</v>
      </c>
    </row>
    <row r="23" spans="1:37" s="1858" customFormat="1" ht="18" customHeight="1">
      <c r="A23" s="1201" t="s">
        <v>1034</v>
      </c>
      <c r="B23" s="347" t="s">
        <v>1452</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1453</v>
      </c>
      <c r="F23" s="371">
        <f>'数据-取费表'!B20</f>
        <v>3</v>
      </c>
      <c r="G23" s="1854"/>
      <c r="H23" s="1201" t="s">
        <v>1075</v>
      </c>
      <c r="I23" s="347" t="s">
        <v>1454</v>
      </c>
      <c r="J23" s="24">
        <f ca="1">ROUND(J13*M23,0)</f>
        <v>0</v>
      </c>
      <c r="K23" s="1798" t="s">
        <v>1455</v>
      </c>
      <c r="L23" s="347" t="s">
        <v>1456</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1457</v>
      </c>
      <c r="B24" s="347" t="s">
        <v>1458</v>
      </c>
      <c r="C24" s="24">
        <f ca="1">ROUND(IF('数据-取费表'!B22&lt;=1,F21*F24*F23/2,F21*(POWER((1+F24),F23/2)-1)),4)</f>
        <v>1.4E-3</v>
      </c>
      <c r="D24" s="375" t="str">
        <f>IF(F23&lt;=1,"销售费用×利率×(建设周期÷2)","销售费用×((1+利率)^(建设周期÷2)-1)")</f>
        <v>销售费用×((1+利率)^(建设周期÷2)-1)</v>
      </c>
      <c r="E24" s="347" t="s">
        <v>1459</v>
      </c>
      <c r="F24" s="377">
        <f ca="1">'数据-取费表'!B40</f>
        <v>4.7500000000000001E-2</v>
      </c>
      <c r="G24" s="1854"/>
      <c r="H24" s="1339" t="s">
        <v>1393</v>
      </c>
      <c r="I24" s="1340" t="s">
        <v>1440</v>
      </c>
      <c r="J24" s="1341">
        <f ca="1">ROUND(J5*M24,0)</f>
        <v>0</v>
      </c>
      <c r="K24" s="1342" t="s">
        <v>1460</v>
      </c>
      <c r="L24" s="1340" t="s">
        <v>1456</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1461</v>
      </c>
      <c r="B25" s="347" t="s">
        <v>1462</v>
      </c>
      <c r="C25" s="24"/>
      <c r="D25" s="140" t="s">
        <v>1463</v>
      </c>
      <c r="E25" s="1818"/>
      <c r="F25" s="26"/>
      <c r="G25" s="1851"/>
      <c r="H25" s="1329" t="s">
        <v>1031</v>
      </c>
      <c r="I25" s="1344" t="s">
        <v>1464</v>
      </c>
      <c r="J25" s="355">
        <f ca="1">J5-J16</f>
        <v>0</v>
      </c>
      <c r="K25" s="1345" t="s">
        <v>1465</v>
      </c>
      <c r="L25" s="1346"/>
      <c r="M25" s="1347"/>
    </row>
    <row r="26" spans="1:37" ht="18" customHeight="1">
      <c r="A26" s="1201" t="s">
        <v>1034</v>
      </c>
      <c r="B26" s="347" t="s">
        <v>1466</v>
      </c>
      <c r="C26" s="24">
        <f ca="1">ROUND((C19+C20)*F26,0)</f>
        <v>0</v>
      </c>
      <c r="D26" s="369" t="s">
        <v>1467</v>
      </c>
      <c r="E26" s="358" t="s">
        <v>1468</v>
      </c>
      <c r="F26" s="357">
        <f ca="1">INDIRECT("'数据-取费表'!q"&amp;$G$1)</f>
        <v>0</v>
      </c>
      <c r="G26" s="1851"/>
      <c r="H26" s="344" t="s">
        <v>1032</v>
      </c>
      <c r="I26" s="345" t="s">
        <v>1469</v>
      </c>
      <c r="J26" s="346">
        <f ca="1">IF(J5&lt;&gt;0,ROUND(J25*(1-((1+M28)/(1+M26))^M27)/(M26-M28),0),0)</f>
        <v>0</v>
      </c>
      <c r="K26" s="370" t="s">
        <v>1470</v>
      </c>
      <c r="L26" s="347" t="s">
        <v>1471</v>
      </c>
      <c r="M26" s="357">
        <f ca="1">INDIRECT("'数据-取费表'!I"&amp;$G$1)</f>
        <v>0</v>
      </c>
    </row>
    <row r="27" spans="1:37" ht="18" customHeight="1">
      <c r="A27" s="1201" t="s">
        <v>1036</v>
      </c>
      <c r="B27" s="347" t="s">
        <v>1472</v>
      </c>
      <c r="C27" s="24">
        <f ca="1">ROUND(F21*F26,4)</f>
        <v>0</v>
      </c>
      <c r="D27" s="369" t="s">
        <v>1473</v>
      </c>
      <c r="E27" s="365"/>
      <c r="F27" s="366"/>
      <c r="G27" s="1851"/>
      <c r="H27" s="349"/>
      <c r="I27" s="350"/>
      <c r="J27" s="351"/>
      <c r="K27" s="378" t="s">
        <v>1474</v>
      </c>
      <c r="L27" s="347" t="s">
        <v>1475</v>
      </c>
      <c r="M27" s="379">
        <f ca="1">INDIRECT("'数据-取费表'!ag"&amp;$G$1)</f>
        <v>0</v>
      </c>
    </row>
    <row r="28" spans="1:37" s="1858" customFormat="1" ht="18" customHeight="1">
      <c r="A28" s="1201" t="s">
        <v>1037</v>
      </c>
      <c r="B28" s="347" t="s">
        <v>1476</v>
      </c>
      <c r="C28" s="24">
        <f>ROUND(F28/(1+'数据-取费表'!C42),4)</f>
        <v>5.2400000000000002E-2</v>
      </c>
      <c r="D28" s="369" t="s">
        <v>1477</v>
      </c>
      <c r="E28" s="347" t="s">
        <v>1423</v>
      </c>
      <c r="F28" s="367">
        <f>'数据-取费表'!B41</f>
        <v>5.5000000000000007E-2</v>
      </c>
      <c r="G28" s="1854"/>
      <c r="H28" s="353"/>
      <c r="I28" s="354"/>
      <c r="J28" s="355"/>
      <c r="K28" s="373"/>
      <c r="L28" s="347" t="s">
        <v>1478</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1038</v>
      </c>
      <c r="B29" s="1340" t="s">
        <v>1479</v>
      </c>
      <c r="C29" s="1341">
        <f ca="1">ROUND((C19+C20+C23+C26)/(1-F21-C24-C27-C28),0)</f>
        <v>0</v>
      </c>
      <c r="D29" s="1342"/>
      <c r="E29" s="1340"/>
      <c r="F29" s="1343"/>
      <c r="G29" s="1854"/>
      <c r="H29" s="380" t="s">
        <v>1033</v>
      </c>
      <c r="I29" s="381" t="s">
        <v>1480</v>
      </c>
      <c r="J29" s="382">
        <f ca="1">ROUND(J26/(1+F40)^F41,0)</f>
        <v>0</v>
      </c>
      <c r="K29" s="383" t="s">
        <v>1481</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1030</v>
      </c>
      <c r="B30" s="1330" t="s">
        <v>1425</v>
      </c>
      <c r="C30" s="355">
        <f ca="1">ROUND(C31+C36+C37+C38,0)</f>
        <v>0</v>
      </c>
      <c r="D30" s="1337" t="s">
        <v>1426</v>
      </c>
      <c r="E30" s="1338"/>
      <c r="F30" s="1294"/>
      <c r="G30" s="1851"/>
      <c r="H30" s="745"/>
      <c r="I30" s="746"/>
      <c r="J30" s="747"/>
      <c r="K30" s="748"/>
      <c r="L30" s="749"/>
      <c r="M30" s="750"/>
    </row>
    <row r="31" spans="1:37" ht="18" customHeight="1">
      <c r="A31" s="1201" t="s">
        <v>1035</v>
      </c>
      <c r="B31" s="347" t="s">
        <v>1430</v>
      </c>
      <c r="C31" s="24">
        <f ca="1">ROUND(IF(项目基本情况!B11="自然人",C5*F31,C32+C33+C34),0)</f>
        <v>0</v>
      </c>
      <c r="D31" s="1800" t="s">
        <v>1431</v>
      </c>
      <c r="E31" s="1798" t="s">
        <v>1482</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1034</v>
      </c>
      <c r="B32" s="347" t="s">
        <v>1434</v>
      </c>
      <c r="C32" s="24">
        <f ca="1">IF(项目基本情况!B11="自然人","——",ROUND(C5*F32/(1+'数据-取费表'!C42),0))</f>
        <v>0</v>
      </c>
      <c r="D32" s="1798" t="s">
        <v>1435</v>
      </c>
      <c r="E32" s="347" t="s">
        <v>1423</v>
      </c>
      <c r="F32" s="377">
        <f>'数据-取费表'!B41</f>
        <v>5.5000000000000007E-2</v>
      </c>
      <c r="G32" s="1851"/>
      <c r="H32" s="745"/>
      <c r="I32" s="746"/>
      <c r="J32" s="747"/>
      <c r="K32" s="748"/>
      <c r="L32" s="749"/>
      <c r="M32" s="750"/>
    </row>
    <row r="33" spans="1:18" ht="18" customHeight="1">
      <c r="A33" s="1201" t="s">
        <v>1036</v>
      </c>
      <c r="B33" s="347" t="s">
        <v>1438</v>
      </c>
      <c r="C33" s="24">
        <f ca="1">IF(项目基本情况!B11="自然人","——",IF(D33="按租金收入计税",ROUND(C5*F33,0),IF(D33="按房产原值计税",ROUND(C29*F33*0.7,0),INDIRECT("'数据-取费表'!Aj"&amp;$G$1))))</f>
        <v>0</v>
      </c>
      <c r="D33" s="1828" t="s">
        <v>1439</v>
      </c>
      <c r="E33" s="347" t="s">
        <v>1423</v>
      </c>
      <c r="F33" s="367">
        <f>IF(D33="按票据","——",IF(D33="按租金收入计税",'数据-取费表'!B51,'数据-取费表'!B50))</f>
        <v>1.2E-2</v>
      </c>
      <c r="G33" s="1851"/>
      <c r="H33" s="1859"/>
      <c r="I33" s="1860"/>
      <c r="J33" s="1861"/>
      <c r="K33" s="1862"/>
      <c r="L33" s="1859"/>
      <c r="M33" s="1859"/>
    </row>
    <row r="34" spans="1:18" ht="18" customHeight="1">
      <c r="A34" s="1291" t="s">
        <v>1389</v>
      </c>
      <c r="B34" s="164" t="s">
        <v>1442</v>
      </c>
      <c r="C34" s="25">
        <f ca="1">IF(项目基本情况!B11="自然人","——",ROUND(F34*F35,))</f>
        <v>0</v>
      </c>
      <c r="D34" s="370" t="s">
        <v>1443</v>
      </c>
      <c r="E34" s="347" t="s">
        <v>1444</v>
      </c>
      <c r="F34" s="371">
        <f>'数据-取费表'!B52</f>
        <v>1.5</v>
      </c>
      <c r="G34" s="1851"/>
      <c r="H34" s="745"/>
      <c r="I34" s="1860"/>
      <c r="J34" s="1861"/>
      <c r="K34" s="1863"/>
      <c r="L34" s="1864"/>
      <c r="M34" s="1864"/>
    </row>
    <row r="35" spans="1:18" ht="18" customHeight="1">
      <c r="A35" s="1353"/>
      <c r="B35" s="1351"/>
      <c r="C35" s="29"/>
      <c r="D35" s="373"/>
      <c r="E35" s="347" t="s">
        <v>1448</v>
      </c>
      <c r="F35" s="348">
        <f ca="1">INDIRECT("'数据-取费表'!r"&amp;$G$1)</f>
        <v>0</v>
      </c>
      <c r="G35" s="1851"/>
      <c r="H35" s="745"/>
      <c r="I35" s="1860"/>
      <c r="J35" s="1861"/>
      <c r="K35" s="1862"/>
      <c r="L35" s="1859"/>
      <c r="M35" s="1859"/>
    </row>
    <row r="36" spans="1:18" ht="18" customHeight="1">
      <c r="A36" s="1352" t="s">
        <v>1039</v>
      </c>
      <c r="B36" s="347" t="s">
        <v>1450</v>
      </c>
      <c r="C36" s="24">
        <f ca="1">ROUND(C29*F36,0)</f>
        <v>0</v>
      </c>
      <c r="D36" s="1798" t="s">
        <v>1483</v>
      </c>
      <c r="E36" s="347" t="s">
        <v>1423</v>
      </c>
      <c r="F36" s="374">
        <f ca="1">INDIRECT("'数据-取费表'!Ak"&amp;$G$1)</f>
        <v>0</v>
      </c>
      <c r="G36" s="1851"/>
      <c r="H36" s="1859"/>
      <c r="I36" s="1860"/>
      <c r="J36" s="1861"/>
      <c r="K36" s="751"/>
      <c r="L36" s="1859"/>
      <c r="M36" s="1859"/>
    </row>
    <row r="37" spans="1:18" ht="18" customHeight="1">
      <c r="A37" s="1201" t="s">
        <v>1075</v>
      </c>
      <c r="B37" s="347" t="s">
        <v>1454</v>
      </c>
      <c r="C37" s="24">
        <f ca="1">ROUND(C13*F37,0)</f>
        <v>0</v>
      </c>
      <c r="D37" s="1798" t="s">
        <v>1455</v>
      </c>
      <c r="E37" s="347" t="s">
        <v>1456</v>
      </c>
      <c r="F37" s="376">
        <f ca="1">INDIRECT("'数据-取费表'!Al"&amp;$G$1)</f>
        <v>0</v>
      </c>
      <c r="G37" s="1851"/>
      <c r="H37" s="1859"/>
      <c r="I37" s="1860"/>
      <c r="J37" s="1861"/>
      <c r="K37" s="751"/>
      <c r="L37" s="1859"/>
      <c r="M37" s="1859"/>
    </row>
    <row r="38" spans="1:18" ht="18" customHeight="1" thickBot="1">
      <c r="A38" s="1339" t="s">
        <v>1393</v>
      </c>
      <c r="B38" s="1340" t="s">
        <v>1440</v>
      </c>
      <c r="C38" s="1341">
        <f ca="1">ROUND(C5*F38,1)</f>
        <v>0</v>
      </c>
      <c r="D38" s="1342" t="s">
        <v>1460</v>
      </c>
      <c r="E38" s="1340" t="s">
        <v>1456</v>
      </c>
      <c r="F38" s="1336">
        <f ca="1">INDIRECT("'数据-取费表'!Am"&amp;$G$1)</f>
        <v>0</v>
      </c>
      <c r="G38" s="1851"/>
      <c r="H38" s="1859"/>
      <c r="I38" s="1860"/>
      <c r="J38" s="1861"/>
      <c r="K38" s="1865"/>
      <c r="L38" s="1859"/>
      <c r="M38" s="1859"/>
    </row>
    <row r="39" spans="1:18" ht="24.6" customHeight="1" thickTop="1">
      <c r="A39" s="1329" t="s">
        <v>1031</v>
      </c>
      <c r="B39" s="1344" t="s">
        <v>1484</v>
      </c>
      <c r="C39" s="355">
        <f ca="1">C5-C30</f>
        <v>0</v>
      </c>
      <c r="D39" s="1345" t="s">
        <v>1485</v>
      </c>
      <c r="E39" s="1346"/>
      <c r="F39" s="1347"/>
      <c r="G39" s="1851"/>
      <c r="H39" s="1859"/>
      <c r="I39" s="1860"/>
      <c r="J39" s="1861"/>
      <c r="K39" s="1865"/>
      <c r="L39" s="1859"/>
      <c r="M39" s="1859"/>
    </row>
    <row r="40" spans="1:18" ht="18" customHeight="1">
      <c r="A40" s="344" t="s">
        <v>1032</v>
      </c>
      <c r="B40" s="345" t="s">
        <v>1486</v>
      </c>
      <c r="C40" s="346" t="e">
        <f ca="1">ROUND(C39*(1-((1+F42)/(1+F40))^F41)/(F40-F42),0)</f>
        <v>#DIV/0!</v>
      </c>
      <c r="D40" s="370" t="s">
        <v>1470</v>
      </c>
      <c r="E40" s="347" t="s">
        <v>1471</v>
      </c>
      <c r="F40" s="357">
        <f ca="1">INDIRECT("'数据-取费表'!I"&amp;$G$1)</f>
        <v>0</v>
      </c>
      <c r="G40" s="1851"/>
      <c r="H40" s="1839"/>
      <c r="I40" s="1860"/>
      <c r="J40" s="1861"/>
      <c r="K40" s="1865"/>
      <c r="L40" s="1839"/>
      <c r="M40" s="1839"/>
    </row>
    <row r="41" spans="1:18" ht="18" customHeight="1">
      <c r="A41" s="349"/>
      <c r="B41" s="350"/>
      <c r="C41" s="351"/>
      <c r="D41" s="378" t="s">
        <v>1487</v>
      </c>
      <c r="E41" s="347" t="s">
        <v>1475</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1478</v>
      </c>
      <c r="F42" s="357">
        <f ca="1">INDIRECT("'数据-取费表'!v"&amp;$G$1)</f>
        <v>0</v>
      </c>
      <c r="G42" s="1851"/>
      <c r="H42" s="732"/>
      <c r="I42" s="1860"/>
      <c r="J42" s="1861"/>
      <c r="K42" s="751"/>
      <c r="L42" s="732"/>
      <c r="M42" s="732"/>
    </row>
    <row r="43" spans="1:18" ht="18" customHeight="1" thickBot="1">
      <c r="A43" s="380" t="s">
        <v>1033</v>
      </c>
      <c r="B43" s="381" t="s">
        <v>1488</v>
      </c>
      <c r="C43" s="382" t="e">
        <f ca="1">ROUND(C40/F43,0)</f>
        <v>#DIV/0!</v>
      </c>
      <c r="D43" s="383" t="s">
        <v>1489</v>
      </c>
      <c r="E43" s="384" t="s">
        <v>1490</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9" t="e">
        <f ca="1">C68-C40</f>
        <v>#DIV/0!</v>
      </c>
      <c r="D45" s="1940" t="s">
        <v>1605</v>
      </c>
      <c r="E45" s="1866"/>
      <c r="F45" s="1866"/>
      <c r="O45" s="1869" t="s">
        <v>1520</v>
      </c>
      <c r="P45" s="1839"/>
      <c r="Q45" s="1839"/>
      <c r="R45" s="1839"/>
    </row>
    <row r="46" spans="1:18" s="1842" customFormat="1" ht="13.5" thickBot="1">
      <c r="A46" s="1870" t="s">
        <v>1521</v>
      </c>
      <c r="C46" s="1871" t="e">
        <f ca="1">ROUND(C45/10000,0)</f>
        <v>#DIV/0!</v>
      </c>
      <c r="D46" s="1872" t="str">
        <f>C2</f>
        <v>万元</v>
      </c>
      <c r="I46" s="1873" t="s">
        <v>1522</v>
      </c>
      <c r="J46" s="1874"/>
      <c r="K46" s="1875"/>
      <c r="L46" s="1876" t="e">
        <f ca="1">IF(M47="住宅",0,IF(L48&gt;J51,L60,J60))</f>
        <v>#DIV/0!</v>
      </c>
      <c r="O46" s="1877" t="s">
        <v>1523</v>
      </c>
      <c r="P46" s="1878" t="s">
        <v>1524</v>
      </c>
      <c r="Q46" s="1879" t="s">
        <v>1525</v>
      </c>
      <c r="R46" s="1879" t="s">
        <v>1526</v>
      </c>
    </row>
    <row r="47" spans="1:18" s="1842" customFormat="1" ht="13.5" thickBot="1">
      <c r="A47" s="1165" t="s">
        <v>1396</v>
      </c>
      <c r="B47" s="1197" t="s">
        <v>1397</v>
      </c>
      <c r="C47" s="1197" t="s">
        <v>1398</v>
      </c>
      <c r="D47" s="1197" t="s">
        <v>1399</v>
      </c>
      <c r="E47" s="1279" t="s">
        <v>1400</v>
      </c>
      <c r="F47" s="1280"/>
      <c r="G47" s="792"/>
      <c r="I47" s="1880" t="s">
        <v>1527</v>
      </c>
      <c r="J47" s="1881"/>
      <c r="K47" s="1882" t="s">
        <v>1528</v>
      </c>
      <c r="L47" s="1883">
        <f ca="1">INDIRECT("'数据-取费表'!d"&amp;$G$1)</f>
        <v>0</v>
      </c>
      <c r="M47" s="1838" t="str">
        <f>IF(ISNUMBER(FIND("住宅",C1)),"住宅","非住宅")</f>
        <v>非住宅</v>
      </c>
      <c r="O47" s="1884" t="s">
        <v>1040</v>
      </c>
      <c r="P47" s="1885" t="s">
        <v>1529</v>
      </c>
      <c r="Q47" s="1886" t="e">
        <f ca="1">C40+J29</f>
        <v>#DIV/0!</v>
      </c>
      <c r="R47" s="1886" t="s">
        <v>1530</v>
      </c>
    </row>
    <row r="48" spans="1:18" s="1842" customFormat="1" ht="28.5" thickBot="1">
      <c r="A48" s="1360" t="s">
        <v>1135</v>
      </c>
      <c r="B48" s="345" t="s">
        <v>1401</v>
      </c>
      <c r="C48" s="1817">
        <f ca="1">C49+C53+C55</f>
        <v>0</v>
      </c>
      <c r="D48" s="1362"/>
      <c r="E48" s="1363"/>
      <c r="F48" s="1181"/>
      <c r="G48" s="792"/>
      <c r="H48" s="793"/>
      <c r="I48" s="1887" t="s">
        <v>1531</v>
      </c>
      <c r="J48" s="1888"/>
      <c r="K48" s="1889" t="s">
        <v>1532</v>
      </c>
      <c r="L48" s="1890">
        <f ca="1">INDIRECT("'数据-取费表'!f"&amp;$G$1)</f>
        <v>0</v>
      </c>
      <c r="O48" s="1884" t="s">
        <v>1041</v>
      </c>
      <c r="P48" s="1885" t="s">
        <v>1533</v>
      </c>
      <c r="Q48" s="1886" t="e">
        <f ca="1">J60</f>
        <v>#DIV/0!</v>
      </c>
      <c r="R48" s="1886" t="s">
        <v>1534</v>
      </c>
    </row>
    <row r="49" spans="1:18" s="1842" customFormat="1" ht="13.5" thickBot="1">
      <c r="A49" s="1194" t="s">
        <v>1136</v>
      </c>
      <c r="B49" s="1829" t="s">
        <v>1491</v>
      </c>
      <c r="C49" s="1364">
        <f ca="1">ROUND(F49*F51*F50*(1-F52),0)</f>
        <v>0</v>
      </c>
      <c r="D49" s="1276" t="s">
        <v>1404</v>
      </c>
      <c r="E49" s="1830" t="s">
        <v>1492</v>
      </c>
      <c r="F49" s="1281"/>
      <c r="G49" s="1891"/>
      <c r="H49" s="793"/>
      <c r="I49" s="1887" t="s">
        <v>1535</v>
      </c>
      <c r="J49" s="1892"/>
      <c r="K49" s="1889" t="s">
        <v>1536</v>
      </c>
      <c r="L49" s="1893"/>
      <c r="O49" s="1894" t="s">
        <v>1042</v>
      </c>
      <c r="P49" s="1885" t="s">
        <v>1537</v>
      </c>
      <c r="Q49" s="1886">
        <f ca="1">C29</f>
        <v>0</v>
      </c>
      <c r="R49" s="1886" t="s">
        <v>1530</v>
      </c>
    </row>
    <row r="50" spans="1:18" s="1842" customFormat="1" ht="13.5" thickBot="1">
      <c r="A50" s="1195"/>
      <c r="B50" s="1198"/>
      <c r="C50" s="1199"/>
      <c r="D50" s="1172"/>
      <c r="E50" s="1277" t="s">
        <v>1406</v>
      </c>
      <c r="F50" s="1278">
        <f ca="1">F7</f>
        <v>0</v>
      </c>
      <c r="H50" s="793"/>
      <c r="I50" s="1887" t="s">
        <v>1538</v>
      </c>
      <c r="J50" s="1895">
        <f>SUMPRODUCT((I63:I65=J47)*(J62:L62=J48)*(J63:L65))</f>
        <v>0</v>
      </c>
      <c r="K50" s="1889" t="s">
        <v>1539</v>
      </c>
      <c r="L50" s="1893"/>
      <c r="M50" s="1896"/>
      <c r="O50" s="1894" t="s">
        <v>1043</v>
      </c>
      <c r="P50" s="1885" t="s">
        <v>1540</v>
      </c>
      <c r="Q50" s="1897" t="e">
        <f ca="1">J58</f>
        <v>#DIV/0!</v>
      </c>
      <c r="R50" s="1886"/>
    </row>
    <row r="51" spans="1:18" s="1842" customFormat="1" ht="13.5" thickBot="1">
      <c r="A51" s="1196"/>
      <c r="B51" s="1198"/>
      <c r="C51" s="1199"/>
      <c r="D51" s="1172"/>
      <c r="E51" s="1200" t="s">
        <v>1407</v>
      </c>
      <c r="F51" s="348">
        <f ca="1">F8</f>
        <v>0</v>
      </c>
      <c r="I51" s="1898" t="s">
        <v>1541</v>
      </c>
      <c r="J51" s="1899">
        <f>IF(J49="",J50,J49+J50-YEAR('数据-取费表'!B2))</f>
        <v>0</v>
      </c>
      <c r="K51" s="1900" t="s">
        <v>1542</v>
      </c>
      <c r="L51" s="1901">
        <f ca="1">ROUND(-PV(INDIRECT("'数据-取费表'!h"&amp;$G$1),L48,(C39-C13*C76),0),0)</f>
        <v>0</v>
      </c>
      <c r="M51" s="1902"/>
      <c r="O51" s="1894" t="s">
        <v>1044</v>
      </c>
      <c r="P51" s="1885" t="s">
        <v>1543</v>
      </c>
      <c r="Q51" s="1897">
        <f>J52</f>
        <v>0</v>
      </c>
      <c r="R51" s="1886"/>
    </row>
    <row r="52" spans="1:18" s="1842" customFormat="1" ht="13.5" thickBot="1">
      <c r="A52" s="1196"/>
      <c r="B52" s="1198"/>
      <c r="C52" s="1199"/>
      <c r="D52" s="1172"/>
      <c r="E52" s="1200" t="s">
        <v>1408</v>
      </c>
      <c r="F52" s="1275"/>
      <c r="I52" s="1903" t="s">
        <v>1544</v>
      </c>
      <c r="J52" s="1904"/>
      <c r="K52" s="1903" t="s">
        <v>1545</v>
      </c>
      <c r="L52" s="1904"/>
      <c r="O52" s="1894" t="s">
        <v>1045</v>
      </c>
      <c r="P52" s="1885" t="s">
        <v>1546</v>
      </c>
      <c r="Q52" s="1886" t="b">
        <f>J53</f>
        <v>0</v>
      </c>
      <c r="R52" s="1886" t="s">
        <v>1547</v>
      </c>
    </row>
    <row r="53" spans="1:18" s="1842" customFormat="1" ht="30.75" customHeight="1" thickBot="1">
      <c r="A53" s="1361" t="s">
        <v>1137</v>
      </c>
      <c r="B53" s="369" t="s">
        <v>1409</v>
      </c>
      <c r="C53" s="361">
        <f ca="1">ROUND(IF(F53="押一",F49*F51*F50/12*F11,IF(F53="押二",F49*F51*F50/12*2*F11,IF(F53="押三",F49*F51*F50/12*3*F11,C54*F11))),0)</f>
        <v>0</v>
      </c>
      <c r="D53" s="1824" t="s">
        <v>1410</v>
      </c>
      <c r="E53" s="358" t="s">
        <v>1411</v>
      </c>
      <c r="F53" s="1366"/>
      <c r="I53" s="1905" t="s">
        <v>1548</v>
      </c>
      <c r="J53" s="1906" t="b">
        <f>IF(M47="住宅",J51,IF(D1="——",MIN(J51,L48),IF(D1="在建（套用方法）",MIN(J51,L48-'数据-取费表'!B24),IF(D1="土地（套用方法）",MIN(J51,L48-'数据-取费表'!B20)))))</f>
        <v>0</v>
      </c>
      <c r="K53" s="3396" t="s">
        <v>1549</v>
      </c>
      <c r="L53" s="3397"/>
      <c r="O53" s="1884" t="s">
        <v>1046</v>
      </c>
      <c r="P53" s="1885" t="s">
        <v>1550</v>
      </c>
      <c r="Q53" s="1886" t="e">
        <f ca="1">Q47+Q48</f>
        <v>#DIV/0!</v>
      </c>
      <c r="R53" s="1886" t="s">
        <v>1047</v>
      </c>
    </row>
    <row r="54" spans="1:18" s="1842" customFormat="1" ht="13.5" thickBot="1">
      <c r="A54" s="1194"/>
      <c r="B54" s="1941" t="s">
        <v>1604</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9"/>
      <c r="K54" s="1909"/>
      <c r="L54" s="1909"/>
      <c r="M54" s="1891"/>
      <c r="O54" s="1869" t="s">
        <v>1551</v>
      </c>
      <c r="P54" s="1839"/>
      <c r="Q54" s="1839"/>
      <c r="R54" s="1839"/>
    </row>
    <row r="55" spans="1:18" s="1842" customFormat="1" ht="13.5" thickBot="1">
      <c r="A55" s="1333" t="s">
        <v>1075</v>
      </c>
      <c r="B55" s="1827" t="s">
        <v>1414</v>
      </c>
      <c r="C55" s="1334"/>
      <c r="D55" s="1824"/>
      <c r="E55" s="1832"/>
      <c r="F55" s="1907"/>
      <c r="I55" s="1910" t="s">
        <v>1552</v>
      </c>
      <c r="J55" s="1911" t="e">
        <f ca="1">ROUND(IF(J47="钢混",J57/J50,1-(1-2%)*(J50-J57)/J50),3)</f>
        <v>#DIV/0!</v>
      </c>
      <c r="K55" s="1912" t="s">
        <v>1553</v>
      </c>
      <c r="L55" s="1913"/>
      <c r="O55" s="1877" t="s">
        <v>1523</v>
      </c>
      <c r="P55" s="1878" t="s">
        <v>1524</v>
      </c>
      <c r="Q55" s="1879" t="s">
        <v>1525</v>
      </c>
      <c r="R55" s="1879" t="s">
        <v>1526</v>
      </c>
    </row>
    <row r="56" spans="1:18" s="1842" customFormat="1" ht="36" customHeight="1" thickTop="1" thickBot="1">
      <c r="A56" s="1176">
        <v>2</v>
      </c>
      <c r="B56" s="1177" t="s">
        <v>1415</v>
      </c>
      <c r="C56" s="276">
        <f ca="1">C13</f>
        <v>0</v>
      </c>
      <c r="D56" s="1914"/>
      <c r="E56" s="1915"/>
      <c r="F56" s="1907"/>
      <c r="I56" s="1916" t="s">
        <v>1555</v>
      </c>
      <c r="J56" s="1917"/>
      <c r="K56" s="1887" t="s">
        <v>1556</v>
      </c>
      <c r="L56" s="1890">
        <f ca="1">IF(L48&lt;J51,"——",L48-J51)</f>
        <v>0</v>
      </c>
      <c r="O56" s="1884" t="s">
        <v>1040</v>
      </c>
      <c r="P56" s="1885" t="s">
        <v>1529</v>
      </c>
      <c r="Q56" s="1886" t="e">
        <f ca="1">C40+J29</f>
        <v>#DIV/0!</v>
      </c>
      <c r="R56" s="1886" t="s">
        <v>1530</v>
      </c>
    </row>
    <row r="57" spans="1:18" s="1842" customFormat="1" ht="24.75" thickBot="1">
      <c r="A57" s="1918"/>
      <c r="B57" s="1169" t="s">
        <v>1479</v>
      </c>
      <c r="C57" s="282">
        <f ca="1">C29</f>
        <v>0</v>
      </c>
      <c r="D57" s="1919"/>
      <c r="E57" s="1920"/>
      <c r="F57" s="1921"/>
      <c r="I57" s="1922" t="s">
        <v>1557</v>
      </c>
      <c r="J57" s="1923">
        <f ca="1">IF(OR(M47="住宅",J51&lt;L48,J56="是"),"——",J51-L48)</f>
        <v>0</v>
      </c>
      <c r="K57" s="1887" t="s">
        <v>1606</v>
      </c>
      <c r="L57" s="1890">
        <f ca="1">IF(L48&lt;J51,"——",IF(L55="比较法",L49,IF(L55="基准地价",L50,L51)))</f>
        <v>0</v>
      </c>
      <c r="O57" s="1884" t="s">
        <v>1041</v>
      </c>
      <c r="P57" s="1885" t="s">
        <v>1607</v>
      </c>
      <c r="Q57" s="1886" t="e">
        <f ca="1">L60</f>
        <v>#DIV/0!</v>
      </c>
      <c r="R57" s="1886" t="s">
        <v>1608</v>
      </c>
    </row>
    <row r="58" spans="1:18" s="1842" customFormat="1" ht="24.75" thickBot="1">
      <c r="A58" s="360" t="s">
        <v>1030</v>
      </c>
      <c r="B58" s="1177" t="s">
        <v>1425</v>
      </c>
      <c r="C58" s="361">
        <f ca="1">ROUND(C59+C64+C65+C66,0)</f>
        <v>0</v>
      </c>
      <c r="D58" s="1179" t="s">
        <v>1426</v>
      </c>
      <c r="E58" s="1180"/>
      <c r="F58" s="1181"/>
      <c r="I58" s="1922" t="s">
        <v>1561</v>
      </c>
      <c r="J58" s="1924" t="e">
        <f ca="1">IF(J55&lt;0.4,0.4,J55)</f>
        <v>#DIV/0!</v>
      </c>
      <c r="K58" s="1900" t="s">
        <v>1609</v>
      </c>
      <c r="L58" s="1890" t="e">
        <f ca="1">ROUND(POWER(1+L52,L47-L48)*(POWER(1+L52,L48)-1)/(POWER(1+L52,L47)-1),4)</f>
        <v>#DIV/0!</v>
      </c>
      <c r="O58" s="1894" t="s">
        <v>1042</v>
      </c>
      <c r="P58" s="1885" t="s">
        <v>1563</v>
      </c>
      <c r="Q58" s="1886">
        <f>IF(L55="比较法",L49,IF(L55="基准地价",L50,0))</f>
        <v>0</v>
      </c>
      <c r="R58" s="1886" t="s">
        <v>1530</v>
      </c>
    </row>
    <row r="59" spans="1:18" s="1842" customFormat="1" ht="24.75" thickBot="1">
      <c r="A59" s="1201" t="s">
        <v>1035</v>
      </c>
      <c r="B59" s="1169" t="s">
        <v>1430</v>
      </c>
      <c r="C59" s="24">
        <f ca="1">ROUND(IF(项目基本情况!B11="自然人",C48*F59,C60+C61+C62),0)</f>
        <v>0</v>
      </c>
      <c r="D59" s="1182" t="s">
        <v>1431</v>
      </c>
      <c r="E59" s="1183" t="s">
        <v>1432</v>
      </c>
      <c r="F59" s="368" t="str">
        <f ca="1">IF(项目基本情况!B11="企业","",IF(INDIRECT("'数据-取费表'!c"&amp;$G$1)="住宅",5%,IF(F49*F50*F51/12/(1+'数据-取费表'!C42)&gt;20000,12%,7%)))</f>
        <v/>
      </c>
      <c r="I59" s="1922" t="s">
        <v>1564</v>
      </c>
      <c r="J59" s="1923"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1043</v>
      </c>
      <c r="P59" s="1885" t="s">
        <v>1565</v>
      </c>
      <c r="Q59" s="1897">
        <f>L52</f>
        <v>0</v>
      </c>
      <c r="R59" s="1886"/>
    </row>
    <row r="60" spans="1:18" s="1842" customFormat="1" ht="16.5" thickBot="1">
      <c r="A60" s="1201" t="s">
        <v>1034</v>
      </c>
      <c r="B60" s="1169" t="s">
        <v>1434</v>
      </c>
      <c r="C60" s="24">
        <f ca="1">IF(项目基本情况!B11="自然人","——",ROUND(C48*F60/(1+'数据-取费表'!C42),0))</f>
        <v>0</v>
      </c>
      <c r="D60" s="1183" t="s">
        <v>1435</v>
      </c>
      <c r="E60" s="1169" t="s">
        <v>1423</v>
      </c>
      <c r="F60" s="377">
        <f t="shared" ref="F60:F66" si="0">F32</f>
        <v>5.5000000000000007E-2</v>
      </c>
      <c r="I60" s="1925" t="s">
        <v>1566</v>
      </c>
      <c r="J60" s="1926" t="e">
        <f ca="1">IF(OR(M47="住宅",J51&lt;L48,J56="是"),"0",ROUND(J59/(1+J52)^J53,0))</f>
        <v>#DIV/0!</v>
      </c>
      <c r="K60" s="1927" t="s">
        <v>1567</v>
      </c>
      <c r="L60" s="1926" t="e">
        <f ca="1">IF(OR(M47="住宅",L48&lt;J51),0,ROUND(L57*(L58/L59-1),0))</f>
        <v>#DIV/0!</v>
      </c>
      <c r="O60" s="1894" t="s">
        <v>1044</v>
      </c>
      <c r="P60" s="1885" t="s">
        <v>1568</v>
      </c>
      <c r="Q60" s="1886" t="e">
        <f ca="1">L58</f>
        <v>#DIV/0!</v>
      </c>
      <c r="R60" s="1886" t="s">
        <v>1569</v>
      </c>
    </row>
    <row r="61" spans="1:18" s="1842" customFormat="1" ht="13.5" thickBot="1">
      <c r="A61" s="1201" t="s">
        <v>1493</v>
      </c>
      <c r="B61" s="1169" t="s">
        <v>1494</v>
      </c>
      <c r="C61" s="24">
        <f ca="1">IF(项目基本情况!B11="自然人","——",IF(D61="按租金收入计税",ROUND(C48*F61,0),IF(D61="按房产原值计税",ROUND(C57*F61*0.7,0),INDIRECT("'数据-取费表'!Aj"&amp;$G$1))))</f>
        <v>0</v>
      </c>
      <c r="D61" s="1828" t="s">
        <v>1439</v>
      </c>
      <c r="E61" s="1169" t="s">
        <v>1495</v>
      </c>
      <c r="F61" s="367">
        <f t="shared" si="0"/>
        <v>1.2E-2</v>
      </c>
      <c r="I61" s="1928"/>
      <c r="J61" s="1928"/>
      <c r="K61" s="1928"/>
      <c r="L61" s="1928"/>
      <c r="O61" s="1894" t="s">
        <v>1045</v>
      </c>
      <c r="P61" s="1885" t="str">
        <f>K59</f>
        <v>建设期及建筑物耐用年限下的土地年期修正系数Kn</v>
      </c>
      <c r="Q61" s="1886" t="e">
        <f ca="1">L59</f>
        <v>#DIV/0!</v>
      </c>
      <c r="R61" s="1886" t="s">
        <v>1570</v>
      </c>
    </row>
    <row r="62" spans="1:18" s="1842" customFormat="1" ht="13.5" thickBot="1">
      <c r="A62" s="1201" t="s">
        <v>1496</v>
      </c>
      <c r="B62" s="1168" t="s">
        <v>1497</v>
      </c>
      <c r="C62" s="25">
        <f ca="1">IF(项目基本情况!B11="自然人","——",ROUND(F62*F63,0))</f>
        <v>0</v>
      </c>
      <c r="D62" s="1184" t="s">
        <v>1498</v>
      </c>
      <c r="E62" s="1169" t="s">
        <v>1499</v>
      </c>
      <c r="F62" s="371">
        <f t="shared" si="0"/>
        <v>1.5</v>
      </c>
      <c r="I62" s="1929" t="s">
        <v>1571</v>
      </c>
      <c r="J62" s="1930" t="s">
        <v>1572</v>
      </c>
      <c r="K62" s="1930" t="s">
        <v>1573</v>
      </c>
      <c r="L62" s="1930" t="s">
        <v>1574</v>
      </c>
      <c r="M62" s="1931" t="s">
        <v>1575</v>
      </c>
      <c r="O62" s="1884" t="s">
        <v>1046</v>
      </c>
      <c r="P62" s="1885" t="s">
        <v>1576</v>
      </c>
      <c r="Q62" s="1886" t="e">
        <f ca="1">Q56+Q57</f>
        <v>#DIV/0!</v>
      </c>
      <c r="R62" s="1886" t="s">
        <v>1047</v>
      </c>
    </row>
    <row r="63" spans="1:18" s="1842" customFormat="1" ht="13.5" thickBot="1">
      <c r="A63" s="372"/>
      <c r="B63" s="1175"/>
      <c r="C63" s="29"/>
      <c r="D63" s="1185"/>
      <c r="E63" s="1169" t="s">
        <v>1500</v>
      </c>
      <c r="F63" s="348">
        <f t="shared" ca="1" si="0"/>
        <v>0</v>
      </c>
      <c r="I63" s="1929" t="s">
        <v>1577</v>
      </c>
      <c r="J63" s="1930">
        <v>70</v>
      </c>
      <c r="K63" s="1930">
        <v>50</v>
      </c>
      <c r="L63" s="1930">
        <v>80</v>
      </c>
      <c r="M63" s="1932">
        <v>0.02</v>
      </c>
      <c r="O63" s="1869" t="s">
        <v>1578</v>
      </c>
      <c r="P63" s="1839"/>
      <c r="Q63" s="1839"/>
      <c r="R63" s="1839"/>
    </row>
    <row r="64" spans="1:18" s="1842" customFormat="1" ht="13.5" thickBot="1">
      <c r="A64" s="1201" t="s">
        <v>1501</v>
      </c>
      <c r="B64" s="1169" t="s">
        <v>1502</v>
      </c>
      <c r="C64" s="24">
        <f ca="1">ROUND(C57*F64,0)</f>
        <v>0</v>
      </c>
      <c r="D64" s="1183" t="s">
        <v>1503</v>
      </c>
      <c r="E64" s="1169" t="s">
        <v>1495</v>
      </c>
      <c r="F64" s="374">
        <f t="shared" ca="1" si="0"/>
        <v>0</v>
      </c>
      <c r="I64" s="1929" t="s">
        <v>1579</v>
      </c>
      <c r="J64" s="1930">
        <v>50</v>
      </c>
      <c r="K64" s="1930">
        <v>35</v>
      </c>
      <c r="L64" s="1930">
        <v>60</v>
      </c>
      <c r="M64" s="1931">
        <v>0</v>
      </c>
      <c r="O64" s="1877" t="s">
        <v>1523</v>
      </c>
      <c r="P64" s="1878" t="s">
        <v>1524</v>
      </c>
      <c r="Q64" s="1879" t="s">
        <v>1525</v>
      </c>
      <c r="R64" s="1879" t="s">
        <v>1526</v>
      </c>
    </row>
    <row r="65" spans="1:18" s="1842" customFormat="1" ht="13.5" thickBot="1">
      <c r="A65" s="1201" t="s">
        <v>1504</v>
      </c>
      <c r="B65" s="1169" t="s">
        <v>1454</v>
      </c>
      <c r="C65" s="24">
        <f ca="1">ROUND(C56*F65,0)</f>
        <v>0</v>
      </c>
      <c r="D65" s="1183" t="s">
        <v>1455</v>
      </c>
      <c r="E65" s="1169" t="s">
        <v>1456</v>
      </c>
      <c r="F65" s="376">
        <f t="shared" ca="1" si="0"/>
        <v>0</v>
      </c>
      <c r="I65" s="1929" t="s">
        <v>1580</v>
      </c>
      <c r="J65" s="1930">
        <v>40</v>
      </c>
      <c r="K65" s="1930">
        <v>30</v>
      </c>
      <c r="L65" s="1930">
        <v>50</v>
      </c>
      <c r="M65" s="1932">
        <v>0.02</v>
      </c>
      <c r="O65" s="1884" t="s">
        <v>1040</v>
      </c>
      <c r="P65" s="1885" t="s">
        <v>1581</v>
      </c>
      <c r="Q65" s="1886" t="e">
        <f ca="1">C40+J29</f>
        <v>#DIV/0!</v>
      </c>
      <c r="R65" s="1886" t="s">
        <v>1530</v>
      </c>
    </row>
    <row r="66" spans="1:18" s="1842" customFormat="1" ht="16.5" thickBot="1">
      <c r="A66" s="1201" t="s">
        <v>1505</v>
      </c>
      <c r="B66" s="1169" t="s">
        <v>1440</v>
      </c>
      <c r="C66" s="24">
        <f ca="1">ROUND(C48*F66,0)</f>
        <v>0</v>
      </c>
      <c r="D66" s="1183" t="s">
        <v>1506</v>
      </c>
      <c r="E66" s="1169" t="s">
        <v>1423</v>
      </c>
      <c r="F66" s="357">
        <f t="shared" ca="1" si="0"/>
        <v>0</v>
      </c>
      <c r="O66" s="1884" t="s">
        <v>1041</v>
      </c>
      <c r="P66" s="1885" t="s">
        <v>1559</v>
      </c>
      <c r="Q66" s="1886" t="e">
        <f ca="1">L60</f>
        <v>#DIV/0!</v>
      </c>
      <c r="R66" s="1886" t="s">
        <v>1582</v>
      </c>
    </row>
    <row r="67" spans="1:18" s="1842" customFormat="1" ht="16.5" thickBot="1">
      <c r="A67" s="1176" t="s">
        <v>1031</v>
      </c>
      <c r="B67" s="1186" t="s">
        <v>1464</v>
      </c>
      <c r="C67" s="361">
        <f ca="1">C48-C58</f>
        <v>0</v>
      </c>
      <c r="D67" s="1182" t="s">
        <v>1465</v>
      </c>
      <c r="E67" s="1187"/>
      <c r="F67" s="1188"/>
      <c r="O67" s="1894" t="s">
        <v>1042</v>
      </c>
      <c r="P67" s="1885" t="s">
        <v>1563</v>
      </c>
      <c r="Q67" s="1933">
        <f ca="1">L51</f>
        <v>0</v>
      </c>
      <c r="R67" s="1886" t="s">
        <v>1583</v>
      </c>
    </row>
    <row r="68" spans="1:18" s="1842" customFormat="1" ht="16.5" thickBot="1">
      <c r="A68" s="1166" t="s">
        <v>1032</v>
      </c>
      <c r="B68" s="1167" t="s">
        <v>1486</v>
      </c>
      <c r="C68" s="346" t="e">
        <f ca="1">ROUND(C67*(1-((1+F70)/(1+F68))^F69)/(F68-F70),0)</f>
        <v>#DIV/0!</v>
      </c>
      <c r="D68" s="1184" t="s">
        <v>1470</v>
      </c>
      <c r="E68" s="1169" t="s">
        <v>1471</v>
      </c>
      <c r="F68" s="357">
        <f ca="1">F40</f>
        <v>0</v>
      </c>
      <c r="O68" s="1894" t="s">
        <v>1043</v>
      </c>
      <c r="P68" s="1934" t="s">
        <v>1584</v>
      </c>
      <c r="Q68" s="1886">
        <f ca="1">ROUND(Q69-Q70*Q71,0)</f>
        <v>0</v>
      </c>
      <c r="R68" s="1886" t="s">
        <v>1051</v>
      </c>
    </row>
    <row r="69" spans="1:18" s="1842" customFormat="1" ht="13.5" thickBot="1">
      <c r="A69" s="1170"/>
      <c r="B69" s="1171"/>
      <c r="C69" s="351"/>
      <c r="D69" s="1189" t="s">
        <v>1474</v>
      </c>
      <c r="E69" s="1169" t="s">
        <v>1475</v>
      </c>
      <c r="F69" s="379">
        <f ca="1">F41</f>
        <v>0</v>
      </c>
      <c r="O69" s="1894" t="s">
        <v>1048</v>
      </c>
      <c r="P69" s="1934" t="s">
        <v>1585</v>
      </c>
      <c r="Q69" s="1886">
        <f ca="1">C39</f>
        <v>0</v>
      </c>
      <c r="R69" s="1886" t="s">
        <v>1530</v>
      </c>
    </row>
    <row r="70" spans="1:18" s="1842" customFormat="1" ht="13.5" thickBot="1">
      <c r="A70" s="1173"/>
      <c r="B70" s="1174"/>
      <c r="C70" s="355"/>
      <c r="D70" s="1185"/>
      <c r="E70" s="1169" t="s">
        <v>1478</v>
      </c>
      <c r="F70" s="1275">
        <f ca="1">F42</f>
        <v>0</v>
      </c>
      <c r="O70" s="1894" t="s">
        <v>1049</v>
      </c>
      <c r="P70" s="1934" t="s">
        <v>1586</v>
      </c>
      <c r="Q70" s="1886">
        <f ca="1">C13</f>
        <v>0</v>
      </c>
      <c r="R70" s="1886" t="s">
        <v>1530</v>
      </c>
    </row>
    <row r="71" spans="1:18" s="1842" customFormat="1" ht="13.5" thickBot="1">
      <c r="A71" s="1190" t="s">
        <v>1033</v>
      </c>
      <c r="B71" s="1191" t="s">
        <v>1488</v>
      </c>
      <c r="C71" s="382" t="e">
        <f ca="1">ROUND(C68/F71,0)</f>
        <v>#DIV/0!</v>
      </c>
      <c r="D71" s="1192" t="s">
        <v>1489</v>
      </c>
      <c r="E71" s="1193" t="s">
        <v>1490</v>
      </c>
      <c r="F71" s="385">
        <f ca="1">F43</f>
        <v>0</v>
      </c>
      <c r="O71" s="1894" t="s">
        <v>1050</v>
      </c>
      <c r="P71" s="1934" t="s">
        <v>1587</v>
      </c>
      <c r="Q71" s="1897">
        <f ca="1">C76</f>
        <v>0</v>
      </c>
      <c r="R71" s="1886"/>
    </row>
    <row r="72" spans="1:18" s="1842" customFormat="1" ht="13.5" thickBot="1">
      <c r="B72" s="796"/>
      <c r="C72" s="796"/>
      <c r="O72" s="1894" t="s">
        <v>1044</v>
      </c>
      <c r="P72" s="1885" t="s">
        <v>1565</v>
      </c>
      <c r="Q72" s="1897">
        <f>L52</f>
        <v>0</v>
      </c>
      <c r="R72" s="1886"/>
    </row>
    <row r="73" spans="1:18" ht="16.5" thickBot="1">
      <c r="A73" s="1842"/>
      <c r="B73" s="796"/>
      <c r="C73" s="796"/>
      <c r="D73" s="1842"/>
      <c r="E73" s="1842"/>
      <c r="F73" s="1842"/>
      <c r="O73" s="1894" t="s">
        <v>1045</v>
      </c>
      <c r="P73" s="1885" t="s">
        <v>1568</v>
      </c>
      <c r="Q73" s="1886" t="e">
        <f ca="1">L58</f>
        <v>#DIV/0!</v>
      </c>
      <c r="R73" s="1886" t="s">
        <v>1569</v>
      </c>
    </row>
    <row r="74" spans="1:18" ht="13.5" thickBot="1">
      <c r="A74" s="1842"/>
      <c r="B74" s="317" t="s">
        <v>1588</v>
      </c>
      <c r="C74" s="1936"/>
      <c r="D74" s="1842"/>
      <c r="E74" s="1842"/>
      <c r="F74" s="1842"/>
      <c r="O74" s="1894" t="s">
        <v>1052</v>
      </c>
      <c r="P74" s="1885" t="str">
        <f>K59</f>
        <v>建设期及建筑物耐用年限下的土地年期修正系数Kn</v>
      </c>
      <c r="Q74" s="1886" t="e">
        <f ca="1">L59</f>
        <v>#DIV/0!</v>
      </c>
      <c r="R74" s="1886" t="s">
        <v>1570</v>
      </c>
    </row>
    <row r="75" spans="1:18" ht="13.5" thickBot="1">
      <c r="A75" s="1842"/>
      <c r="B75" s="386" t="s">
        <v>1507</v>
      </c>
      <c r="C75" s="387">
        <f ca="1">ROUND(C13*C76,0)</f>
        <v>0</v>
      </c>
      <c r="D75" s="1842"/>
      <c r="E75" s="1842"/>
      <c r="F75" s="1842"/>
      <c r="K75" s="1868"/>
      <c r="L75" s="1842"/>
      <c r="O75" s="1884" t="s">
        <v>1046</v>
      </c>
      <c r="P75" s="1885" t="s">
        <v>1550</v>
      </c>
      <c r="Q75" s="1886" t="e">
        <f ca="1">Q65+Q66</f>
        <v>#DIV/0!</v>
      </c>
      <c r="R75" s="1886" t="s">
        <v>1047</v>
      </c>
    </row>
    <row r="76" spans="1:18">
      <c r="B76" s="388" t="s">
        <v>1508</v>
      </c>
      <c r="C76" s="389">
        <f ca="1">INDIRECT("'数据-取费表'!j"&amp;$G$1)</f>
        <v>0</v>
      </c>
      <c r="I76" s="1842"/>
      <c r="J76" s="1842"/>
      <c r="K76" s="1868"/>
      <c r="L76" s="1842"/>
    </row>
    <row r="77" spans="1:18">
      <c r="B77" s="390" t="s">
        <v>1509</v>
      </c>
      <c r="C77" s="391"/>
      <c r="I77" s="1842"/>
      <c r="J77" s="1842"/>
      <c r="K77" s="1868"/>
      <c r="L77" s="1842"/>
    </row>
    <row r="78" spans="1:18">
      <c r="B78" s="314" t="s">
        <v>1510</v>
      </c>
      <c r="C78" s="392"/>
    </row>
    <row r="79" spans="1:18">
      <c r="B79" s="386" t="s">
        <v>1511</v>
      </c>
      <c r="C79" s="318" t="e">
        <f ca="1">1-C80</f>
        <v>#DIV/0!</v>
      </c>
    </row>
    <row r="80" spans="1:18">
      <c r="B80" s="386" t="s">
        <v>1512</v>
      </c>
      <c r="C80" s="318" t="e">
        <f ca="1">ROUND(C75/C39,3)</f>
        <v>#DIV/0!</v>
      </c>
    </row>
    <row r="81" spans="2:3">
      <c r="B81" s="314" t="s">
        <v>1513</v>
      </c>
      <c r="C81" s="282"/>
    </row>
    <row r="82" spans="2:3">
      <c r="B82" s="317" t="s">
        <v>1514</v>
      </c>
      <c r="C82" s="319" t="e">
        <f ca="1">1-C83</f>
        <v>#DIV/0!</v>
      </c>
    </row>
    <row r="83" spans="2:3">
      <c r="B83" s="317" t="s">
        <v>1515</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09" priority="4">
      <formula>$L$48&gt;$J$51</formula>
    </cfRule>
  </conditionalFormatting>
  <conditionalFormatting sqref="I55 I60">
    <cfRule type="expression" dxfId="108" priority="5">
      <formula>$J$51&gt;$L$48</formula>
    </cfRule>
  </conditionalFormatting>
  <conditionalFormatting sqref="C11">
    <cfRule type="expression" dxfId="107" priority="3">
      <formula>$F$10="自定义"</formula>
    </cfRule>
  </conditionalFormatting>
  <conditionalFormatting sqref="J11">
    <cfRule type="expression" dxfId="106" priority="2">
      <formula>$M$10="自定义"</formula>
    </cfRule>
  </conditionalFormatting>
  <conditionalFormatting sqref="C54">
    <cfRule type="expression" dxfId="10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5" customWidth="1"/>
    <col min="2" max="2" width="12" style="1945" customWidth="1"/>
    <col min="3" max="3" width="9" style="1945"/>
    <col min="4" max="4" width="14.125" style="1945" customWidth="1"/>
    <col min="5" max="5" width="9" style="1945"/>
    <col min="6" max="6" width="12.875" style="1945" customWidth="1"/>
    <col min="7" max="16384" width="9" style="1945"/>
  </cols>
  <sheetData>
    <row r="1" spans="1:6" ht="21">
      <c r="A1" s="2559" t="s">
        <v>2521</v>
      </c>
      <c r="B1" s="2560"/>
      <c r="C1" s="2560"/>
      <c r="D1" s="2560"/>
      <c r="E1" s="2561"/>
    </row>
    <row r="2" spans="1:6" ht="15.75">
      <c r="A2" s="2562" t="s">
        <v>2325</v>
      </c>
      <c r="B2" s="2563">
        <f ca="1">SUMIF(B6:B13,"&lt;&gt;#ref!",B6:B13)</f>
        <v>97706</v>
      </c>
      <c r="C2" s="2564" t="s">
        <v>2514</v>
      </c>
      <c r="D2" s="2565" t="s">
        <v>2515</v>
      </c>
      <c r="E2" s="2566">
        <f>SUM(E6:E13)</f>
        <v>64021.789999999994</v>
      </c>
    </row>
    <row r="3" spans="1:6" ht="15.75">
      <c r="A3" s="2562" t="s">
        <v>1395</v>
      </c>
      <c r="B3" s="2563">
        <f ca="1">ROUND(B2*10000/E2,0)</f>
        <v>15261</v>
      </c>
      <c r="C3" s="2564" t="s">
        <v>2522</v>
      </c>
      <c r="D3" s="2567"/>
      <c r="E3" s="2568"/>
    </row>
    <row r="4" spans="1:6" ht="15.75">
      <c r="A4" s="2569"/>
      <c r="B4" s="2567"/>
      <c r="C4" s="2567"/>
      <c r="D4" s="2567"/>
      <c r="E4" s="2568"/>
    </row>
    <row r="5" spans="1:6" ht="15">
      <c r="A5" s="2570" t="s">
        <v>2516</v>
      </c>
      <c r="B5" s="3401" t="s">
        <v>2517</v>
      </c>
      <c r="C5" s="3401"/>
      <c r="D5" s="2571"/>
      <c r="E5" s="2572" t="s">
        <v>2518</v>
      </c>
      <c r="F5" s="2573" t="s">
        <v>2519</v>
      </c>
    </row>
    <row r="6" spans="1:6">
      <c r="A6" s="2574">
        <f>'数据-取费表'!AN6</f>
        <v>0</v>
      </c>
      <c r="B6" s="2573" t="e">
        <f ca="1">IF(F6="是",'数据-取费表'!AO6,0)</f>
        <v>#REF!</v>
      </c>
      <c r="C6" s="2564" t="s">
        <v>2514</v>
      </c>
      <c r="D6" s="2567"/>
      <c r="E6" s="2575">
        <f>IF(OR(A6=0,F6="否"),0,'数据-取费表'!K6+'数据-取费表'!S6)</f>
        <v>0</v>
      </c>
      <c r="F6" s="2576" t="s">
        <v>2520</v>
      </c>
    </row>
    <row r="7" spans="1:6">
      <c r="A7" s="2574">
        <f>'数据-取费表'!AN7</f>
        <v>0</v>
      </c>
      <c r="B7" s="2573" t="e">
        <f ca="1">IF(F7="是",'数据-取费表'!AO7,0)</f>
        <v>#REF!</v>
      </c>
      <c r="C7" s="2564" t="s">
        <v>2514</v>
      </c>
      <c r="D7" s="2567"/>
      <c r="E7" s="2575">
        <f>IF(OR(A7=0,F7="否"),0,'数据-取费表'!K7+'数据-取费表'!S7)</f>
        <v>0</v>
      </c>
      <c r="F7" s="2576" t="s">
        <v>2520</v>
      </c>
    </row>
    <row r="8" spans="1:6">
      <c r="A8" s="2574" t="str">
        <f>'数据-取费表'!AN8</f>
        <v>收益法（地下仓储）</v>
      </c>
      <c r="B8" s="2573">
        <f ca="1">IF(F8="是",'数据-取费表'!AO8,0)</f>
        <v>6712</v>
      </c>
      <c r="C8" s="2564" t="s">
        <v>2514</v>
      </c>
      <c r="D8" s="2567"/>
      <c r="E8" s="2575">
        <f>IF(OR(A8=0,F8="否"),0,'数据-取费表'!K8+'数据-取费表'!S8)</f>
        <v>7959.64</v>
      </c>
      <c r="F8" s="2576" t="s">
        <v>2520</v>
      </c>
    </row>
    <row r="9" spans="1:6">
      <c r="A9" s="2574" t="str">
        <f>'数据-取费表'!AN9</f>
        <v>收益法（地下车库）</v>
      </c>
      <c r="B9" s="2573">
        <f ca="1">IF(F9="是",'数据-取费表'!AO9,0)</f>
        <v>9689</v>
      </c>
      <c r="C9" s="2564" t="s">
        <v>2514</v>
      </c>
      <c r="D9" s="2567"/>
      <c r="E9" s="2575">
        <f>IF(OR(A9=0,F9="否"),0,'数据-取费表'!K9+'数据-取费表'!S9)</f>
        <v>10473.299999999999</v>
      </c>
      <c r="F9" s="2576" t="s">
        <v>2520</v>
      </c>
    </row>
    <row r="10" spans="1:6">
      <c r="A10" s="2574" t="str">
        <f>'数据-取费表'!AN10</f>
        <v>收益法叠拼车位</v>
      </c>
      <c r="B10" s="2573">
        <f ca="1">IF(F10="是",'数据-取费表'!AO10,0)</f>
        <v>23087</v>
      </c>
      <c r="C10" s="2564" t="s">
        <v>2514</v>
      </c>
      <c r="D10" s="2567"/>
      <c r="E10" s="2575">
        <f>IF(OR(A10=0,F10="否"),0,'数据-取费表'!K10+'数据-取费表'!S10)</f>
        <v>15382.800000000001</v>
      </c>
      <c r="F10" s="2576" t="s">
        <v>2520</v>
      </c>
    </row>
    <row r="11" spans="1:6">
      <c r="A11" s="2574" t="str">
        <f>'数据-取费表'!AN11</f>
        <v>收益法（商品房仓储）</v>
      </c>
      <c r="B11" s="2573">
        <f ca="1">IF(F11="是",'数据-取费表'!AO11,0)</f>
        <v>58218</v>
      </c>
      <c r="C11" s="2564" t="s">
        <v>2514</v>
      </c>
      <c r="D11" s="2567"/>
      <c r="E11" s="2575">
        <f>IF(OR(A11=0,F11="否"),0,'数据-取费表'!K11+'数据-取费表'!S11)</f>
        <v>30206.05</v>
      </c>
      <c r="F11" s="2576" t="s">
        <v>2520</v>
      </c>
    </row>
    <row r="12" spans="1:6">
      <c r="A12" s="2574">
        <f>'数据-取费表'!AN12</f>
        <v>0</v>
      </c>
      <c r="B12" s="2573" t="e">
        <f ca="1">IF(F12="是",'数据-取费表'!AO12,0)</f>
        <v>#REF!</v>
      </c>
      <c r="C12" s="2564" t="s">
        <v>2514</v>
      </c>
      <c r="D12" s="2567"/>
      <c r="E12" s="2575">
        <f>IF(OR(A12=0,F12="否"),0,'数据-取费表'!K12+'数据-取费表'!S12)</f>
        <v>0</v>
      </c>
      <c r="F12" s="2576" t="s">
        <v>2520</v>
      </c>
    </row>
    <row r="13" spans="1:6" ht="15" thickBot="1">
      <c r="A13" s="2577">
        <f>'数据-取费表'!AN13</f>
        <v>0</v>
      </c>
      <c r="B13" s="2573" t="e">
        <f ca="1">IF(F13="是",'数据-取费表'!AO13,0)</f>
        <v>#REF!</v>
      </c>
      <c r="C13" s="2578" t="s">
        <v>2514</v>
      </c>
      <c r="D13" s="2579"/>
      <c r="E13" s="2575">
        <f>IF(OR(A13=0,F13="否"),0,'数据-取费表'!K13+'数据-取费表'!S13)</f>
        <v>0</v>
      </c>
      <c r="F13" s="2576" t="s">
        <v>2520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418" t="s">
        <v>1076</v>
      </c>
      <c r="B1" s="3419"/>
      <c r="C1" s="3420"/>
      <c r="D1" s="3421">
        <f>SUM(I10,I15,I20,I21,I23)</f>
        <v>0</v>
      </c>
      <c r="E1" s="3421"/>
      <c r="F1" s="3421"/>
      <c r="G1" s="3421"/>
      <c r="H1" s="3421"/>
      <c r="I1" s="3422"/>
    </row>
    <row r="2" spans="1:9">
      <c r="A2" s="3408" t="s">
        <v>1077</v>
      </c>
      <c r="B2" s="3409" t="s">
        <v>1078</v>
      </c>
      <c r="C2" s="3409"/>
      <c r="D2" s="1301" t="s">
        <v>1079</v>
      </c>
      <c r="E2" s="1301" t="s">
        <v>1080</v>
      </c>
      <c r="F2" s="1301" t="s">
        <v>1081</v>
      </c>
      <c r="G2" s="1301" t="s">
        <v>1082</v>
      </c>
      <c r="H2" s="1301" t="s">
        <v>1083</v>
      </c>
      <c r="I2" s="1302" t="s">
        <v>1084</v>
      </c>
    </row>
    <row r="3" spans="1:9">
      <c r="A3" s="3408"/>
      <c r="B3" s="3409" t="s">
        <v>1085</v>
      </c>
      <c r="C3" s="3409"/>
      <c r="D3" s="1303"/>
      <c r="E3" s="1301"/>
      <c r="F3" s="1304"/>
      <c r="G3" s="1304"/>
      <c r="H3" s="1305"/>
      <c r="I3" s="1306">
        <f>ROUND(D3*E3*F3*G3*H3/10000,0)</f>
        <v>0</v>
      </c>
    </row>
    <row r="4" spans="1:9">
      <c r="A4" s="3408"/>
      <c r="B4" s="3409" t="s">
        <v>1086</v>
      </c>
      <c r="C4" s="3409"/>
      <c r="D4" s="1303"/>
      <c r="E4" s="1301"/>
      <c r="F4" s="1304"/>
      <c r="G4" s="1304"/>
      <c r="H4" s="1305"/>
      <c r="I4" s="1306">
        <f t="shared" ref="I4:I9" si="0">ROUND(D4*E4*F4*G4*H4/10000,0)</f>
        <v>0</v>
      </c>
    </row>
    <row r="5" spans="1:9">
      <c r="A5" s="3408"/>
      <c r="B5" s="3409" t="s">
        <v>1087</v>
      </c>
      <c r="C5" s="3409"/>
      <c r="D5" s="1303"/>
      <c r="E5" s="1301"/>
      <c r="F5" s="1304"/>
      <c r="G5" s="1304"/>
      <c r="H5" s="1305"/>
      <c r="I5" s="1306">
        <f t="shared" si="0"/>
        <v>0</v>
      </c>
    </row>
    <row r="6" spans="1:9">
      <c r="A6" s="3408"/>
      <c r="B6" s="3409" t="s">
        <v>1088</v>
      </c>
      <c r="C6" s="3409"/>
      <c r="D6" s="1303"/>
      <c r="E6" s="1301"/>
      <c r="F6" s="1304"/>
      <c r="G6" s="1304"/>
      <c r="H6" s="1305"/>
      <c r="I6" s="1306">
        <f t="shared" si="0"/>
        <v>0</v>
      </c>
    </row>
    <row r="7" spans="1:9">
      <c r="A7" s="3408"/>
      <c r="B7" s="3409" t="s">
        <v>1089</v>
      </c>
      <c r="C7" s="3409"/>
      <c r="D7" s="1303"/>
      <c r="E7" s="1301"/>
      <c r="F7" s="1304"/>
      <c r="G7" s="1304"/>
      <c r="H7" s="1305"/>
      <c r="I7" s="1306">
        <f t="shared" si="0"/>
        <v>0</v>
      </c>
    </row>
    <row r="8" spans="1:9">
      <c r="A8" s="3408"/>
      <c r="B8" s="3409" t="s">
        <v>1090</v>
      </c>
      <c r="C8" s="3409"/>
      <c r="D8" s="1303"/>
      <c r="E8" s="1301"/>
      <c r="F8" s="1304"/>
      <c r="G8" s="1304"/>
      <c r="H8" s="1305"/>
      <c r="I8" s="1306">
        <f t="shared" si="0"/>
        <v>0</v>
      </c>
    </row>
    <row r="9" spans="1:9">
      <c r="A9" s="3408"/>
      <c r="B9" s="3409" t="s">
        <v>1091</v>
      </c>
      <c r="C9" s="3409"/>
      <c r="D9" s="1303"/>
      <c r="E9" s="1301"/>
      <c r="F9" s="1304"/>
      <c r="G9" s="1304"/>
      <c r="H9" s="1305"/>
      <c r="I9" s="1306">
        <f t="shared" si="0"/>
        <v>0</v>
      </c>
    </row>
    <row r="10" spans="1:9">
      <c r="A10" s="3408"/>
      <c r="B10" s="3410" t="s">
        <v>1092</v>
      </c>
      <c r="C10" s="3410"/>
      <c r="D10" s="1307"/>
      <c r="E10" s="1307" t="e">
        <f>ROUND(D1*10000/D10/H9,0)</f>
        <v>#DIV/0!</v>
      </c>
      <c r="F10" s="1308"/>
      <c r="G10" s="1308"/>
      <c r="H10" s="1309"/>
      <c r="I10" s="1310">
        <f>SUM(I3:I9)</f>
        <v>0</v>
      </c>
    </row>
    <row r="11" spans="1:9" ht="14.25">
      <c r="A11" s="3408" t="s">
        <v>1093</v>
      </c>
      <c r="B11" s="3409" t="s">
        <v>1094</v>
      </c>
      <c r="C11" s="3409"/>
      <c r="D11" s="1303" t="s">
        <v>1095</v>
      </c>
      <c r="E11" s="1303" t="s">
        <v>1096</v>
      </c>
      <c r="F11" s="1304" t="s">
        <v>1097</v>
      </c>
      <c r="G11" s="1304" t="s">
        <v>1083</v>
      </c>
      <c r="H11" s="1311" t="s">
        <v>1098</v>
      </c>
      <c r="I11" s="1302" t="s">
        <v>1084</v>
      </c>
    </row>
    <row r="12" spans="1:9">
      <c r="A12" s="3408"/>
      <c r="B12" s="3409" t="s">
        <v>1099</v>
      </c>
      <c r="C12" s="3409"/>
      <c r="D12" s="1303"/>
      <c r="E12" s="1303"/>
      <c r="F12" s="1304"/>
      <c r="G12" s="1305"/>
      <c r="H12" s="1312"/>
      <c r="I12" s="1302">
        <f>ROUND(D12*E12*F12*G12/10000,0)</f>
        <v>0</v>
      </c>
    </row>
    <row r="13" spans="1:9">
      <c r="A13" s="3408"/>
      <c r="B13" s="3409" t="s">
        <v>1100</v>
      </c>
      <c r="C13" s="3409"/>
      <c r="D13" s="1303"/>
      <c r="E13" s="1303"/>
      <c r="F13" s="1304"/>
      <c r="G13" s="1305"/>
      <c r="H13" s="1312"/>
      <c r="I13" s="1302">
        <f>ROUND(D13*E13*F13*G13/10000,0)</f>
        <v>0</v>
      </c>
    </row>
    <row r="14" spans="1:9">
      <c r="A14" s="3408"/>
      <c r="B14" s="3409" t="s">
        <v>1101</v>
      </c>
      <c r="C14" s="3409"/>
      <c r="D14" s="1303"/>
      <c r="E14" s="1303"/>
      <c r="F14" s="1304"/>
      <c r="G14" s="1305"/>
      <c r="H14" s="1312"/>
      <c r="I14" s="1302">
        <f>ROUND(D14*E14*F14*G14/10000,0)</f>
        <v>0</v>
      </c>
    </row>
    <row r="15" spans="1:9">
      <c r="A15" s="3408"/>
      <c r="B15" s="3410" t="s">
        <v>1092</v>
      </c>
      <c r="C15" s="3410"/>
      <c r="D15" s="1307"/>
      <c r="E15" s="1307">
        <f>SUM(E12:E14)</f>
        <v>0</v>
      </c>
      <c r="F15" s="1308"/>
      <c r="G15" s="1305"/>
      <c r="H15" s="1312"/>
      <c r="I15" s="1313">
        <f>SUM(I12:I14)</f>
        <v>0</v>
      </c>
    </row>
    <row r="16" spans="1:9" ht="24">
      <c r="A16" s="3408" t="s">
        <v>1102</v>
      </c>
      <c r="B16" s="3409" t="s">
        <v>1103</v>
      </c>
      <c r="C16" s="3409"/>
      <c r="D16" s="1303" t="s">
        <v>1079</v>
      </c>
      <c r="E16" s="1314" t="s">
        <v>1104</v>
      </c>
      <c r="F16" s="1304" t="s">
        <v>1105</v>
      </c>
      <c r="G16" s="1305" t="s">
        <v>1083</v>
      </c>
      <c r="H16" s="1311" t="s">
        <v>1098</v>
      </c>
      <c r="I16" s="1302" t="s">
        <v>1084</v>
      </c>
    </row>
    <row r="17" spans="1:9" ht="14.25">
      <c r="A17" s="3408"/>
      <c r="B17" s="3409" t="s">
        <v>1106</v>
      </c>
      <c r="C17" s="3409"/>
      <c r="D17" s="1303"/>
      <c r="E17" s="1303"/>
      <c r="F17" s="1304"/>
      <c r="G17" s="1305"/>
      <c r="H17" s="1315"/>
      <c r="I17" s="1316">
        <f>ROUND(D17*E17*F17*G17/10000,0)</f>
        <v>0</v>
      </c>
    </row>
    <row r="18" spans="1:9" ht="14.25">
      <c r="A18" s="3408"/>
      <c r="B18" s="3409" t="s">
        <v>1107</v>
      </c>
      <c r="C18" s="3409"/>
      <c r="D18" s="1303"/>
      <c r="E18" s="1303"/>
      <c r="F18" s="1304"/>
      <c r="G18" s="1305"/>
      <c r="H18" s="1315"/>
      <c r="I18" s="1316">
        <f>ROUND(D18*E18*F18*G18/10000,0)</f>
        <v>0</v>
      </c>
    </row>
    <row r="19" spans="1:9" ht="14.25">
      <c r="A19" s="3408"/>
      <c r="B19" s="3409" t="s">
        <v>1108</v>
      </c>
      <c r="C19" s="3409"/>
      <c r="D19" s="1303"/>
      <c r="E19" s="1303"/>
      <c r="F19" s="1304"/>
      <c r="G19" s="1305"/>
      <c r="H19" s="1315"/>
      <c r="I19" s="1316">
        <f>ROUND(D19*E19*F19*G19/10000,0)</f>
        <v>0</v>
      </c>
    </row>
    <row r="20" spans="1:9">
      <c r="A20" s="3408"/>
      <c r="B20" s="3410" t="s">
        <v>1092</v>
      </c>
      <c r="C20" s="3410"/>
      <c r="D20" s="1307">
        <f>SUM(D17:D19)</f>
        <v>0</v>
      </c>
      <c r="E20" s="1307"/>
      <c r="F20" s="1308"/>
      <c r="G20" s="1305"/>
      <c r="H20" s="1312"/>
      <c r="I20" s="1313">
        <f>SUM(I17:I19)</f>
        <v>0</v>
      </c>
    </row>
    <row r="21" spans="1:9">
      <c r="A21" s="3408" t="s">
        <v>1109</v>
      </c>
      <c r="B21" s="3411"/>
      <c r="C21" s="3411"/>
      <c r="D21" s="3411"/>
      <c r="E21" s="3411"/>
      <c r="F21" s="3411"/>
      <c r="G21" s="3411"/>
      <c r="H21" s="1765">
        <v>0.1</v>
      </c>
      <c r="I21" s="1310">
        <f>ROUND(I10*H21,0)</f>
        <v>0</v>
      </c>
    </row>
    <row r="22" spans="1:9" ht="14.25">
      <c r="A22" s="3412" t="s">
        <v>1110</v>
      </c>
      <c r="B22" s="3413"/>
      <c r="C22" s="3414"/>
      <c r="D22" s="1317" t="s">
        <v>1111</v>
      </c>
      <c r="E22" s="1317" t="s">
        <v>1112</v>
      </c>
      <c r="F22" s="1318" t="s">
        <v>1113</v>
      </c>
      <c r="G22" s="1318" t="s">
        <v>1114</v>
      </c>
      <c r="H22" s="1311" t="s">
        <v>1115</v>
      </c>
      <c r="I22" s="1302" t="s">
        <v>1116</v>
      </c>
    </row>
    <row r="23" spans="1:9" ht="14.25" thickBot="1">
      <c r="A23" s="3415"/>
      <c r="B23" s="3416"/>
      <c r="C23" s="3417"/>
      <c r="D23" s="1319"/>
      <c r="E23" s="1319"/>
      <c r="F23" s="1319"/>
      <c r="G23" s="1320"/>
      <c r="H23" s="1321"/>
      <c r="I23" s="1322">
        <f>ROUND(E23*D23*F23*(1-G23)/10000,0)</f>
        <v>0</v>
      </c>
    </row>
    <row r="26" spans="1:9">
      <c r="A26" s="1323" t="s">
        <v>1117</v>
      </c>
      <c r="B26" s="1323"/>
      <c r="C26" s="1323"/>
      <c r="D26" s="1323"/>
      <c r="E26" s="3405">
        <f>C27-C30-C31-C32</f>
        <v>0</v>
      </c>
      <c r="F26" s="3405"/>
      <c r="G26" s="3405"/>
      <c r="H26" s="1737" t="s">
        <v>1340</v>
      </c>
    </row>
    <row r="27" spans="1:9">
      <c r="A27" s="1324">
        <v>1</v>
      </c>
      <c r="B27" s="1325" t="s">
        <v>1118</v>
      </c>
      <c r="C27" s="1325">
        <f>C28+C29</f>
        <v>0</v>
      </c>
      <c r="D27" s="1325"/>
      <c r="E27" s="3406"/>
      <c r="F27" s="3406"/>
      <c r="G27" s="3406"/>
    </row>
    <row r="28" spans="1:9">
      <c r="A28" s="1326" t="s">
        <v>1119</v>
      </c>
      <c r="B28" s="1325" t="s">
        <v>1120</v>
      </c>
      <c r="C28" s="1325"/>
      <c r="D28" s="1325"/>
      <c r="E28" s="3406"/>
      <c r="F28" s="3406"/>
      <c r="G28" s="3406"/>
    </row>
    <row r="29" spans="1:9">
      <c r="A29" s="1326" t="s">
        <v>1121</v>
      </c>
      <c r="B29" s="1325" t="s">
        <v>1122</v>
      </c>
      <c r="C29" s="1325"/>
      <c r="D29" s="1325"/>
      <c r="E29" s="1325" t="s">
        <v>1123</v>
      </c>
      <c r="F29" s="1325"/>
      <c r="G29" s="1325"/>
    </row>
    <row r="30" spans="1:9">
      <c r="A30" s="1324">
        <v>2</v>
      </c>
      <c r="B30" s="1325" t="s">
        <v>1124</v>
      </c>
      <c r="C30" s="1325">
        <f>C27*D30</f>
        <v>0</v>
      </c>
      <c r="D30" s="1327">
        <v>0.2</v>
      </c>
      <c r="E30" s="1325" t="s">
        <v>1125</v>
      </c>
      <c r="F30" s="1325"/>
      <c r="G30" s="1325"/>
    </row>
    <row r="31" spans="1:9">
      <c r="A31" s="1324">
        <v>3</v>
      </c>
      <c r="B31" s="1325" t="s">
        <v>1126</v>
      </c>
      <c r="C31" s="1325">
        <f>C25*D31</f>
        <v>0</v>
      </c>
      <c r="D31" s="1327">
        <v>0.15</v>
      </c>
      <c r="E31" s="1325" t="s">
        <v>1127</v>
      </c>
      <c r="F31" s="1325"/>
      <c r="G31" s="1325"/>
    </row>
    <row r="32" spans="1:9">
      <c r="A32" s="1324">
        <v>4</v>
      </c>
      <c r="B32" s="1325" t="s">
        <v>1128</v>
      </c>
      <c r="C32" s="1325">
        <f>C27*D32</f>
        <v>0</v>
      </c>
      <c r="D32" s="1327">
        <v>0.05</v>
      </c>
      <c r="E32" s="3407"/>
      <c r="F32" s="3407"/>
      <c r="G32" s="3407"/>
    </row>
    <row r="33" spans="1:7" hidden="1">
      <c r="A33" s="3402" t="s">
        <v>1129</v>
      </c>
      <c r="B33" s="3403"/>
      <c r="C33" s="3403"/>
      <c r="D33" s="3404"/>
      <c r="E33" s="3405"/>
      <c r="F33" s="3405"/>
      <c r="G33" s="3405"/>
    </row>
    <row r="34" spans="1:7" hidden="1">
      <c r="A34" s="1328">
        <v>1</v>
      </c>
      <c r="B34" s="1325" t="s">
        <v>1130</v>
      </c>
      <c r="C34" s="1325"/>
      <c r="D34" s="1325"/>
      <c r="E34" s="3406"/>
      <c r="F34" s="3406"/>
      <c r="G34" s="3406"/>
    </row>
    <row r="35" spans="1:7" hidden="1">
      <c r="A35" s="1328">
        <v>2</v>
      </c>
      <c r="B35" s="1325" t="s">
        <v>1131</v>
      </c>
      <c r="C35" s="1325"/>
      <c r="D35" s="1325"/>
      <c r="E35" s="3406"/>
      <c r="F35" s="3406"/>
      <c r="G35" s="3406"/>
    </row>
    <row r="36" spans="1:7" hidden="1">
      <c r="A36" s="1328">
        <v>3</v>
      </c>
      <c r="B36" s="1325" t="s">
        <v>1132</v>
      </c>
      <c r="C36" s="1325"/>
      <c r="D36" s="1325"/>
      <c r="E36" s="3406"/>
      <c r="F36" s="3406"/>
      <c r="G36" s="3406"/>
    </row>
    <row r="37" spans="1:7" hidden="1">
      <c r="A37" s="1328">
        <v>4</v>
      </c>
      <c r="B37" s="1325" t="s">
        <v>1133</v>
      </c>
      <c r="C37" s="1325"/>
      <c r="D37" s="1325"/>
      <c r="E37" s="3406"/>
      <c r="F37" s="3406"/>
      <c r="G37" s="3406"/>
    </row>
    <row r="38" spans="1:7" hidden="1">
      <c r="A38" s="3402" t="s">
        <v>1134</v>
      </c>
      <c r="B38" s="3403"/>
      <c r="C38" s="3403"/>
      <c r="D38" s="3404"/>
      <c r="E38" s="3405"/>
      <c r="F38" s="3405"/>
      <c r="G38" s="340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2523</v>
      </c>
      <c r="B1" s="2580" t="s">
        <v>2637</v>
      </c>
      <c r="C1" s="1634" t="s">
        <v>2525</v>
      </c>
      <c r="D1" s="1621"/>
      <c r="E1" s="2653"/>
      <c r="F1" s="2582"/>
      <c r="G1" s="1631" t="s">
        <v>2638</v>
      </c>
      <c r="H1" s="1630"/>
      <c r="I1" s="1630"/>
      <c r="J1" s="1630"/>
      <c r="K1" s="1632"/>
      <c r="L1" s="1633"/>
      <c r="M1" s="1634"/>
      <c r="N1" s="1634"/>
      <c r="O1" s="1634"/>
      <c r="P1" s="2654"/>
      <c r="Q1" s="2655"/>
      <c r="R1" s="2655"/>
      <c r="S1" s="2655"/>
      <c r="T1" s="2655"/>
      <c r="U1" s="2655"/>
      <c r="V1" s="2655"/>
      <c r="W1" s="2655"/>
      <c r="X1" s="2655"/>
      <c r="Y1" s="2655"/>
      <c r="Z1" s="2655"/>
      <c r="AA1" s="2655"/>
      <c r="AB1" s="2655"/>
      <c r="AC1" s="2656"/>
    </row>
    <row r="2" spans="1:29" s="398" customFormat="1" ht="28.5" customHeight="1" thickTop="1">
      <c r="A2" s="1617" t="s">
        <v>2325</v>
      </c>
      <c r="B2" s="1418" t="e">
        <f ca="1">IF(C2="——",ROUND(C49*D3/10000,0),ROUND(C49*D3/10000,0)-D2)</f>
        <v>#DIV/0!</v>
      </c>
      <c r="C2" s="2584"/>
      <c r="D2" s="1365" t="e">
        <f ca="1">SUMIF(INDIRECT("'"&amp;F2&amp;"'"&amp;"!A:A"),"承租人权益价值",INDIRECT("'"&amp;F2&amp;"'"&amp;"!c:c"))</f>
        <v>#REF!</v>
      </c>
      <c r="E2" s="2585" t="s">
        <v>2326</v>
      </c>
      <c r="F2" s="2586"/>
      <c r="G2" s="1125"/>
      <c r="H2" s="1125"/>
      <c r="I2" s="1125"/>
      <c r="J2" s="1125"/>
      <c r="K2" s="1125"/>
      <c r="L2" s="1128"/>
      <c r="M2" s="1129"/>
      <c r="N2" s="1129"/>
      <c r="O2" s="1129"/>
      <c r="P2" s="2657"/>
      <c r="Q2" s="1129"/>
      <c r="R2" s="1129"/>
      <c r="S2" s="1129"/>
      <c r="T2" s="1129"/>
      <c r="U2" s="1129"/>
      <c r="V2" s="1129"/>
      <c r="W2" s="1129"/>
      <c r="X2" s="1129"/>
      <c r="Y2" s="1129"/>
      <c r="Z2" s="1129"/>
      <c r="AA2" s="1129"/>
      <c r="AB2" s="1129"/>
      <c r="AC2" s="2658"/>
    </row>
    <row r="3" spans="1:29" s="398" customFormat="1" ht="28.5" customHeight="1" thickBot="1">
      <c r="A3" s="247" t="s">
        <v>2327</v>
      </c>
      <c r="B3" s="609" t="e">
        <f ca="1">IF(C2="——",C49,ROUND(B2*10000/D3,0))</f>
        <v>#DIV/0!</v>
      </c>
      <c r="C3" s="400" t="s">
        <v>2639</v>
      </c>
      <c r="D3" s="399">
        <f>IF(D1="",'数据-汇总表'!E3,SUMIF('数据-汇总表'!$C19:$C33,D1,'数据-汇总表'!$E19:$E33))</f>
        <v>117348.15999999993</v>
      </c>
      <c r="E3" s="2659"/>
      <c r="F3" s="1126"/>
      <c r="G3" s="1125"/>
      <c r="H3" s="1125"/>
      <c r="I3" s="1125"/>
      <c r="J3" s="1125"/>
      <c r="K3" s="1127"/>
      <c r="L3" s="1128"/>
      <c r="M3" s="1129"/>
      <c r="N3" s="1129"/>
      <c r="O3" s="1129"/>
      <c r="P3" s="2657"/>
      <c r="Q3" s="1129"/>
      <c r="R3" s="1129"/>
      <c r="S3" s="1129"/>
      <c r="T3" s="1129"/>
      <c r="U3" s="1129"/>
      <c r="V3" s="1129"/>
      <c r="W3" s="1129"/>
      <c r="X3" s="1129"/>
      <c r="Y3" s="1129"/>
      <c r="Z3" s="1129"/>
      <c r="AA3" s="1129"/>
      <c r="AB3" s="1129"/>
      <c r="AC3" s="2659"/>
    </row>
    <row r="4" spans="1:29" ht="15">
      <c r="A4" s="401" t="s">
        <v>2640</v>
      </c>
      <c r="B4" s="402"/>
      <c r="C4" s="3317" t="s">
        <v>2641</v>
      </c>
      <c r="D4" s="3330"/>
      <c r="E4" s="3331" t="s">
        <v>2642</v>
      </c>
      <c r="F4" s="3332"/>
      <c r="G4" s="3317" t="s">
        <v>2643</v>
      </c>
      <c r="H4" s="3330"/>
      <c r="I4" s="3317" t="s">
        <v>2644</v>
      </c>
      <c r="J4" s="3330"/>
      <c r="K4" s="610" t="s">
        <v>2645</v>
      </c>
      <c r="L4" s="1130"/>
      <c r="M4" s="1131"/>
      <c r="N4" s="1131"/>
      <c r="O4" s="1131"/>
      <c r="P4" s="3333" t="s">
        <v>2646</v>
      </c>
      <c r="Q4" s="3334"/>
      <c r="R4" s="3339" t="s">
        <v>2642</v>
      </c>
      <c r="S4" s="3340"/>
      <c r="T4" s="3339" t="s">
        <v>2643</v>
      </c>
      <c r="U4" s="3340"/>
      <c r="V4" s="3326" t="s">
        <v>2644</v>
      </c>
      <c r="W4" s="3326"/>
      <c r="X4" s="1813"/>
      <c r="Y4" s="3339" t="s">
        <v>2646</v>
      </c>
      <c r="Z4" s="3340"/>
      <c r="AA4" s="3327" t="s">
        <v>2642</v>
      </c>
      <c r="AB4" s="3326" t="s">
        <v>2643</v>
      </c>
      <c r="AC4" s="3327" t="s">
        <v>2644</v>
      </c>
    </row>
    <row r="5" spans="1:29" ht="15">
      <c r="A5" s="404"/>
      <c r="B5" s="405"/>
      <c r="C5" s="3424" t="s">
        <v>2537</v>
      </c>
      <c r="D5" s="3348"/>
      <c r="E5" s="3426" t="s">
        <v>2538</v>
      </c>
      <c r="F5" s="3355"/>
      <c r="G5" s="3424" t="s">
        <v>2539</v>
      </c>
      <c r="H5" s="3348"/>
      <c r="I5" s="3424" t="s">
        <v>2540</v>
      </c>
      <c r="J5" s="3348"/>
      <c r="K5" s="610"/>
      <c r="L5" s="1130"/>
      <c r="M5" s="1131"/>
      <c r="N5" s="1131"/>
      <c r="O5" s="1131"/>
      <c r="P5" s="3335"/>
      <c r="Q5" s="3336"/>
      <c r="R5" s="3341"/>
      <c r="S5" s="3342"/>
      <c r="T5" s="3341"/>
      <c r="U5" s="3342"/>
      <c r="V5" s="3326"/>
      <c r="W5" s="3326"/>
      <c r="X5" s="1813"/>
      <c r="Y5" s="3341"/>
      <c r="Z5" s="3342"/>
      <c r="AA5" s="3328"/>
      <c r="AB5" s="3326"/>
      <c r="AC5" s="3328"/>
    </row>
    <row r="6" spans="1:29" ht="15.75" thickBot="1">
      <c r="A6" s="406"/>
      <c r="B6" s="407"/>
      <c r="C6" s="3423" t="s">
        <v>2541</v>
      </c>
      <c r="D6" s="3346"/>
      <c r="E6" s="3425" t="s">
        <v>2541</v>
      </c>
      <c r="F6" s="3353"/>
      <c r="G6" s="3423" t="s">
        <v>2541</v>
      </c>
      <c r="H6" s="3346"/>
      <c r="I6" s="3423" t="s">
        <v>2541</v>
      </c>
      <c r="J6" s="3346"/>
      <c r="K6" s="610" t="s">
        <v>2542</v>
      </c>
      <c r="L6" s="1130"/>
      <c r="M6" s="1131"/>
      <c r="N6" s="1131"/>
      <c r="O6" s="1131"/>
      <c r="P6" s="3337"/>
      <c r="Q6" s="3338"/>
      <c r="R6" s="3341"/>
      <c r="S6" s="3342"/>
      <c r="T6" s="3343"/>
      <c r="U6" s="3344"/>
      <c r="V6" s="3326"/>
      <c r="W6" s="3326"/>
      <c r="X6" s="1813"/>
      <c r="Y6" s="3343"/>
      <c r="Z6" s="3344"/>
      <c r="AA6" s="3329"/>
      <c r="AB6" s="3326"/>
      <c r="AC6" s="3329"/>
    </row>
    <row r="7" spans="1:29" s="117" customFormat="1" ht="15.75" thickBot="1">
      <c r="A7" s="408" t="s">
        <v>2543</v>
      </c>
      <c r="B7" s="409"/>
      <c r="C7" s="410">
        <f>'数据-取费表'!B2</f>
        <v>43111</v>
      </c>
      <c r="D7" s="411">
        <v>100</v>
      </c>
      <c r="E7" s="412"/>
      <c r="F7" s="413">
        <f>SUMIF(58:58,YEAR(E7)&amp;"-"&amp;MONTH(E7),59:59)</f>
        <v>0</v>
      </c>
      <c r="G7" s="412"/>
      <c r="H7" s="411">
        <f>SUMIF(58:58,YEAR(G7)&amp;"-"&amp;MONTH(G7),59:59)</f>
        <v>0</v>
      </c>
      <c r="I7" s="412"/>
      <c r="J7" s="411">
        <f>SUMIF(58:58,YEAR(I7)&amp;"-"&amp;MONTH(I7),59:59)</f>
        <v>0</v>
      </c>
      <c r="K7" s="611"/>
      <c r="L7" s="1132"/>
      <c r="M7" s="1133"/>
      <c r="N7" s="1133"/>
      <c r="O7" s="1133"/>
      <c r="P7" s="3349" t="s">
        <v>2544</v>
      </c>
      <c r="Q7" s="3351"/>
      <c r="R7" s="770" t="s">
        <v>17</v>
      </c>
      <c r="S7" s="771">
        <f t="shared" ref="S7:S15" si="0">F7</f>
        <v>0</v>
      </c>
      <c r="T7" s="770" t="s">
        <v>17</v>
      </c>
      <c r="U7" s="771">
        <f t="shared" ref="U7:U15" si="1">H7</f>
        <v>0</v>
      </c>
      <c r="V7" s="770" t="s">
        <v>17</v>
      </c>
      <c r="W7" s="771">
        <f t="shared" ref="W7:W15" si="2">J7</f>
        <v>0</v>
      </c>
      <c r="X7" s="772"/>
      <c r="Y7" s="3349" t="s">
        <v>2544</v>
      </c>
      <c r="Z7" s="3350"/>
      <c r="AA7" s="773" t="e">
        <f>D7/F7</f>
        <v>#DIV/0!</v>
      </c>
      <c r="AB7" s="773" t="e">
        <f>D7/H7</f>
        <v>#DIV/0!</v>
      </c>
      <c r="AC7" s="773" t="e">
        <f>D7/J7</f>
        <v>#DIV/0!</v>
      </c>
    </row>
    <row r="8" spans="1:29" s="117" customFormat="1" ht="15.75" thickBot="1">
      <c r="A8" s="408" t="s">
        <v>2545</v>
      </c>
      <c r="B8" s="409"/>
      <c r="C8" s="414" t="s">
        <v>2647</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349" t="s">
        <v>2547</v>
      </c>
      <c r="Q8" s="3350"/>
      <c r="R8" s="770" t="s">
        <v>17</v>
      </c>
      <c r="S8" s="771">
        <f t="shared" si="0"/>
        <v>0</v>
      </c>
      <c r="T8" s="770" t="s">
        <v>17</v>
      </c>
      <c r="U8" s="771">
        <f t="shared" si="1"/>
        <v>0</v>
      </c>
      <c r="V8" s="770" t="s">
        <v>17</v>
      </c>
      <c r="W8" s="771">
        <f t="shared" si="2"/>
        <v>0</v>
      </c>
      <c r="X8" s="772"/>
      <c r="Y8" s="3349" t="s">
        <v>2547</v>
      </c>
      <c r="Z8" s="3350"/>
      <c r="AA8" s="773" t="e">
        <f t="shared" ref="AA8:AA46" si="3">D8/F8</f>
        <v>#DIV/0!</v>
      </c>
      <c r="AB8" s="773" t="e">
        <f t="shared" ref="AB8:AB46" si="4">D8/H8</f>
        <v>#DIV/0!</v>
      </c>
      <c r="AC8" s="773" t="e">
        <f t="shared" ref="AC8:AC46" si="5">D8/J8</f>
        <v>#DIV/0!</v>
      </c>
    </row>
    <row r="9" spans="1:29" s="117" customFormat="1">
      <c r="A9" s="415" t="s">
        <v>2548</v>
      </c>
      <c r="B9" s="71" t="s">
        <v>2549</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319" t="s">
        <v>2550</v>
      </c>
      <c r="Q9" s="1795" t="str">
        <f t="shared" ref="Q9:Q15" si="6">B9</f>
        <v>用途</v>
      </c>
      <c r="R9" s="770" t="s">
        <v>17</v>
      </c>
      <c r="S9" s="771">
        <f t="shared" si="0"/>
        <v>100</v>
      </c>
      <c r="T9" s="770" t="s">
        <v>17</v>
      </c>
      <c r="U9" s="771">
        <f t="shared" si="1"/>
        <v>100</v>
      </c>
      <c r="V9" s="770" t="s">
        <v>17</v>
      </c>
      <c r="W9" s="771">
        <f t="shared" si="2"/>
        <v>100</v>
      </c>
      <c r="X9" s="772"/>
      <c r="Y9" s="3151" t="s">
        <v>2551</v>
      </c>
      <c r="Z9" s="55" t="str">
        <f t="shared" ref="Z9:Z15" si="7">Q9</f>
        <v>用途</v>
      </c>
      <c r="AA9" s="773">
        <f t="shared" si="3"/>
        <v>1</v>
      </c>
      <c r="AB9" s="773">
        <f t="shared" si="4"/>
        <v>1</v>
      </c>
      <c r="AC9" s="773">
        <f t="shared" si="5"/>
        <v>1</v>
      </c>
    </row>
    <row r="10" spans="1:29" s="427" customFormat="1" ht="27">
      <c r="A10" s="421"/>
      <c r="B10" s="422" t="s">
        <v>2552</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319"/>
      <c r="Q10" s="1795" t="str">
        <f t="shared" si="6"/>
        <v>土地使用年限（年）</v>
      </c>
      <c r="R10" s="770" t="s">
        <v>17</v>
      </c>
      <c r="S10" s="771">
        <f t="shared" si="0"/>
        <v>100</v>
      </c>
      <c r="T10" s="770" t="s">
        <v>17</v>
      </c>
      <c r="U10" s="771">
        <f t="shared" si="1"/>
        <v>100</v>
      </c>
      <c r="V10" s="770" t="s">
        <v>17</v>
      </c>
      <c r="W10" s="771">
        <f t="shared" si="2"/>
        <v>100</v>
      </c>
      <c r="X10" s="772"/>
      <c r="Y10" s="3151"/>
      <c r="Z10" s="55" t="str">
        <f t="shared" si="7"/>
        <v>土地使用年限（年）</v>
      </c>
      <c r="AA10" s="773">
        <f t="shared" si="3"/>
        <v>1</v>
      </c>
      <c r="AB10" s="773">
        <f t="shared" si="4"/>
        <v>1</v>
      </c>
      <c r="AC10" s="773">
        <f t="shared" si="5"/>
        <v>1</v>
      </c>
    </row>
    <row r="11" spans="1:29" ht="15">
      <c r="A11" s="428"/>
      <c r="B11" s="422" t="s">
        <v>2553</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319"/>
      <c r="Q11" s="1795" t="str">
        <f t="shared" si="6"/>
        <v>容积率</v>
      </c>
      <c r="R11" s="770" t="s">
        <v>17</v>
      </c>
      <c r="S11" s="771" t="e">
        <f t="shared" si="0"/>
        <v>#N/A</v>
      </c>
      <c r="T11" s="770" t="s">
        <v>17</v>
      </c>
      <c r="U11" s="771" t="e">
        <f t="shared" si="1"/>
        <v>#N/A</v>
      </c>
      <c r="V11" s="770" t="s">
        <v>17</v>
      </c>
      <c r="W11" s="771" t="e">
        <f t="shared" si="2"/>
        <v>#N/A</v>
      </c>
      <c r="X11" s="772"/>
      <c r="Y11" s="3151"/>
      <c r="Z11" s="55" t="str">
        <f t="shared" si="7"/>
        <v>容积率</v>
      </c>
      <c r="AA11" s="773" t="e">
        <f t="shared" si="3"/>
        <v>#N/A</v>
      </c>
      <c r="AB11" s="773" t="e">
        <f t="shared" si="4"/>
        <v>#N/A</v>
      </c>
      <c r="AC11" s="773" t="e">
        <f t="shared" si="5"/>
        <v>#N/A</v>
      </c>
    </row>
    <row r="12" spans="1:29" s="117" customFormat="1" ht="15">
      <c r="A12" s="431"/>
      <c r="B12" s="2597">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319"/>
      <c r="Q12" s="1795">
        <f t="shared" si="6"/>
        <v>111</v>
      </c>
      <c r="R12" s="770" t="s">
        <v>17</v>
      </c>
      <c r="S12" s="771">
        <f t="shared" si="0"/>
        <v>100</v>
      </c>
      <c r="T12" s="770" t="s">
        <v>17</v>
      </c>
      <c r="U12" s="771">
        <f t="shared" si="1"/>
        <v>100</v>
      </c>
      <c r="V12" s="770" t="s">
        <v>17</v>
      </c>
      <c r="W12" s="771">
        <f t="shared" si="2"/>
        <v>100</v>
      </c>
      <c r="X12" s="772"/>
      <c r="Y12" s="3151"/>
      <c r="Z12" s="55">
        <f t="shared" si="7"/>
        <v>111</v>
      </c>
      <c r="AA12" s="773">
        <f>D12/F12</f>
        <v>1</v>
      </c>
      <c r="AB12" s="773">
        <f>D12/H12</f>
        <v>1</v>
      </c>
      <c r="AC12" s="773">
        <f>D12/J12</f>
        <v>1</v>
      </c>
    </row>
    <row r="13" spans="1:29" ht="15">
      <c r="A13" s="428"/>
      <c r="B13" s="2597">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319"/>
      <c r="Q13" s="1795">
        <f t="shared" si="6"/>
        <v>111</v>
      </c>
      <c r="R13" s="770" t="s">
        <v>17</v>
      </c>
      <c r="S13" s="771">
        <f t="shared" si="0"/>
        <v>100</v>
      </c>
      <c r="T13" s="770" t="s">
        <v>17</v>
      </c>
      <c r="U13" s="771">
        <f t="shared" si="1"/>
        <v>100</v>
      </c>
      <c r="V13" s="770" t="s">
        <v>17</v>
      </c>
      <c r="W13" s="771">
        <f t="shared" si="2"/>
        <v>100</v>
      </c>
      <c r="X13" s="772"/>
      <c r="Y13" s="3151"/>
      <c r="Z13" s="55">
        <f t="shared" si="7"/>
        <v>111</v>
      </c>
      <c r="AA13" s="773">
        <f t="shared" si="3"/>
        <v>1</v>
      </c>
      <c r="AB13" s="773">
        <f t="shared" si="4"/>
        <v>1</v>
      </c>
      <c r="AC13" s="773">
        <f t="shared" si="5"/>
        <v>1</v>
      </c>
    </row>
    <row r="14" spans="1:29" ht="15.75" thickBot="1">
      <c r="A14" s="436"/>
      <c r="B14" s="2599">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319"/>
      <c r="Q14" s="1795">
        <f t="shared" si="6"/>
        <v>111</v>
      </c>
      <c r="R14" s="770" t="s">
        <v>17</v>
      </c>
      <c r="S14" s="771">
        <f t="shared" si="0"/>
        <v>100</v>
      </c>
      <c r="T14" s="770" t="s">
        <v>17</v>
      </c>
      <c r="U14" s="771">
        <f t="shared" si="1"/>
        <v>100</v>
      </c>
      <c r="V14" s="770" t="s">
        <v>17</v>
      </c>
      <c r="W14" s="771">
        <f t="shared" si="2"/>
        <v>100</v>
      </c>
      <c r="X14" s="772"/>
      <c r="Y14" s="3151"/>
      <c r="Z14" s="55">
        <f t="shared" si="7"/>
        <v>111</v>
      </c>
      <c r="AA14" s="773">
        <f t="shared" si="3"/>
        <v>1</v>
      </c>
      <c r="AB14" s="773">
        <f t="shared" si="4"/>
        <v>1</v>
      </c>
      <c r="AC14" s="773">
        <f t="shared" si="5"/>
        <v>1</v>
      </c>
    </row>
    <row r="15" spans="1:29" ht="71.25">
      <c r="A15" s="440" t="s">
        <v>2554</v>
      </c>
      <c r="B15" s="69" t="s">
        <v>2648</v>
      </c>
      <c r="C15" s="2600"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392" t="s">
        <v>2555</v>
      </c>
      <c r="Q15" s="1810" t="str">
        <f t="shared" si="6"/>
        <v>商业繁华度</v>
      </c>
      <c r="R15" s="774" t="s">
        <v>17</v>
      </c>
      <c r="S15" s="775">
        <f t="shared" si="0"/>
        <v>100</v>
      </c>
      <c r="T15" s="774" t="s">
        <v>17</v>
      </c>
      <c r="U15" s="775">
        <f t="shared" si="1"/>
        <v>100</v>
      </c>
      <c r="V15" s="774" t="s">
        <v>17</v>
      </c>
      <c r="W15" s="775">
        <f t="shared" si="2"/>
        <v>100</v>
      </c>
      <c r="X15" s="1813"/>
      <c r="Y15" s="3322" t="s">
        <v>2555</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393"/>
      <c r="Q16" s="1810"/>
      <c r="R16" s="774"/>
      <c r="S16" s="775"/>
      <c r="T16" s="774"/>
      <c r="U16" s="775"/>
      <c r="V16" s="774"/>
      <c r="W16" s="775"/>
      <c r="X16" s="1813"/>
      <c r="Y16" s="3323"/>
      <c r="Z16" s="1814"/>
      <c r="AA16" s="1811">
        <v>1</v>
      </c>
      <c r="AB16" s="1811">
        <v>1</v>
      </c>
      <c r="AC16" s="1811">
        <v>1</v>
      </c>
    </row>
    <row r="17" spans="1:29" ht="128.25">
      <c r="A17" s="428"/>
      <c r="B17" s="451" t="s">
        <v>2094</v>
      </c>
      <c r="C17" s="2604" t="str">
        <f>估价对象房地状况!C6</f>
        <v>估价对象多面临街，周边道路路网较为密集，公共交通通达情况较好，有417、533路等、停车便捷程度较好，综合评价交通便捷度较好。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393"/>
      <c r="Q17" s="1810" t="str">
        <f>B17</f>
        <v>交通便捷度</v>
      </c>
      <c r="R17" s="774" t="s">
        <v>17</v>
      </c>
      <c r="S17" s="775">
        <f>F17</f>
        <v>100</v>
      </c>
      <c r="T17" s="774" t="s">
        <v>17</v>
      </c>
      <c r="U17" s="775">
        <f>H17</f>
        <v>100</v>
      </c>
      <c r="V17" s="774" t="s">
        <v>17</v>
      </c>
      <c r="W17" s="775">
        <f>J17</f>
        <v>100</v>
      </c>
      <c r="X17" s="1813"/>
      <c r="Y17" s="3323"/>
      <c r="Z17" s="1814" t="str">
        <f>Q17</f>
        <v>交通便捷度</v>
      </c>
      <c r="AA17" s="1811">
        <f t="shared" si="3"/>
        <v>1</v>
      </c>
      <c r="AB17" s="1811">
        <f t="shared" si="4"/>
        <v>1</v>
      </c>
      <c r="AC17" s="1811">
        <f t="shared" si="5"/>
        <v>1</v>
      </c>
    </row>
    <row r="18" spans="1:29" ht="15">
      <c r="A18" s="428"/>
      <c r="B18" s="456"/>
      <c r="C18" s="2605"/>
      <c r="D18" s="450"/>
      <c r="E18" s="2607"/>
      <c r="F18" s="453"/>
      <c r="G18" s="2606"/>
      <c r="H18" s="448"/>
      <c r="I18" s="2607"/>
      <c r="J18" s="448"/>
      <c r="K18" s="615"/>
      <c r="L18" s="1140"/>
      <c r="M18" s="1131"/>
      <c r="N18" s="1131"/>
      <c r="O18" s="1131"/>
      <c r="P18" s="3393"/>
      <c r="Q18" s="1810"/>
      <c r="R18" s="774"/>
      <c r="S18" s="775"/>
      <c r="T18" s="774"/>
      <c r="U18" s="775"/>
      <c r="V18" s="774"/>
      <c r="W18" s="775"/>
      <c r="X18" s="1813"/>
      <c r="Y18" s="3323"/>
      <c r="Z18" s="1814"/>
      <c r="AA18" s="1811">
        <v>1</v>
      </c>
      <c r="AB18" s="1811">
        <v>1</v>
      </c>
      <c r="AC18" s="1811">
        <v>1</v>
      </c>
    </row>
    <row r="19" spans="1:29" ht="213.75">
      <c r="A19" s="428"/>
      <c r="B19" s="451" t="s">
        <v>2649</v>
      </c>
      <c r="C19" s="2604" t="str">
        <f>估价对象房地状况!C7</f>
        <v>估价对象所在区域2公里范围内有：银行（中国银行、北京农村商业银行），购物（物联隆超市、超市发超市）、医院（北七家社区卫生服务中心），学校（北京市晨星学校、伊顿双语幼儿园），餐饮等，公共配套设施齐备情况较好。</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393"/>
      <c r="Q19" s="1810" t="str">
        <f>B19</f>
        <v>公共配套设施</v>
      </c>
      <c r="R19" s="774" t="s">
        <v>17</v>
      </c>
      <c r="S19" s="775">
        <f>F19</f>
        <v>100</v>
      </c>
      <c r="T19" s="774" t="s">
        <v>17</v>
      </c>
      <c r="U19" s="775">
        <f>H19</f>
        <v>100</v>
      </c>
      <c r="V19" s="774" t="s">
        <v>17</v>
      </c>
      <c r="W19" s="775">
        <f>J19</f>
        <v>100</v>
      </c>
      <c r="X19" s="1813"/>
      <c r="Y19" s="3323"/>
      <c r="Z19" s="1814" t="str">
        <f>Q19</f>
        <v>公共配套设施</v>
      </c>
      <c r="AA19" s="1811">
        <f t="shared" si="3"/>
        <v>1</v>
      </c>
      <c r="AB19" s="1811">
        <f t="shared" si="4"/>
        <v>1</v>
      </c>
      <c r="AC19" s="1811">
        <f t="shared" si="5"/>
        <v>1</v>
      </c>
    </row>
    <row r="20" spans="1:29" ht="15">
      <c r="A20" s="428"/>
      <c r="B20" s="456"/>
      <c r="C20" s="447"/>
      <c r="D20" s="448"/>
      <c r="E20" s="2602"/>
      <c r="F20" s="449"/>
      <c r="G20" s="2601"/>
      <c r="H20" s="448"/>
      <c r="I20" s="2602"/>
      <c r="J20" s="448"/>
      <c r="K20" s="615"/>
      <c r="L20" s="1140"/>
      <c r="M20" s="1131"/>
      <c r="N20" s="1131"/>
      <c r="O20" s="1131"/>
      <c r="P20" s="3393"/>
      <c r="Q20" s="1810"/>
      <c r="R20" s="774"/>
      <c r="S20" s="775"/>
      <c r="T20" s="774"/>
      <c r="U20" s="775"/>
      <c r="V20" s="774"/>
      <c r="W20" s="775"/>
      <c r="X20" s="1813"/>
      <c r="Y20" s="3323"/>
      <c r="Z20" s="1814"/>
      <c r="AA20" s="1811">
        <v>1</v>
      </c>
      <c r="AB20" s="1811">
        <v>1</v>
      </c>
      <c r="AC20" s="1811">
        <v>1</v>
      </c>
    </row>
    <row r="21" spans="1:29" ht="42.75">
      <c r="A21" s="428"/>
      <c r="B21" s="1384" t="s">
        <v>2650</v>
      </c>
      <c r="C21" s="2604" t="str">
        <f>估价对象房地状况!C8</f>
        <v>估价对象所在区域基础设施水平达到“七通”。</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393"/>
      <c r="Q21" s="1810" t="str">
        <f>B21</f>
        <v>基础设施水平</v>
      </c>
      <c r="R21" s="774" t="s">
        <v>17</v>
      </c>
      <c r="S21" s="775">
        <f>F21</f>
        <v>100</v>
      </c>
      <c r="T21" s="774" t="s">
        <v>17</v>
      </c>
      <c r="U21" s="775">
        <f>H21</f>
        <v>100</v>
      </c>
      <c r="V21" s="774" t="s">
        <v>17</v>
      </c>
      <c r="W21" s="775">
        <f>J21</f>
        <v>100</v>
      </c>
      <c r="X21" s="1813"/>
      <c r="Y21" s="3323"/>
      <c r="Z21" s="1814" t="str">
        <f>Q21</f>
        <v>基础设施水平</v>
      </c>
      <c r="AA21" s="1811">
        <f t="shared" ref="AA21" si="8">D21/F21</f>
        <v>1</v>
      </c>
      <c r="AB21" s="1811">
        <f t="shared" ref="AB21" si="9">D21/H21</f>
        <v>1</v>
      </c>
      <c r="AC21" s="1811">
        <f t="shared" ref="AC21" si="10">D21/J21</f>
        <v>1</v>
      </c>
    </row>
    <row r="22" spans="1:29" ht="15">
      <c r="A22" s="428"/>
      <c r="B22" s="1384"/>
      <c r="C22" s="2605"/>
      <c r="D22" s="448"/>
      <c r="E22" s="447"/>
      <c r="F22" s="449"/>
      <c r="G22" s="447"/>
      <c r="H22" s="448"/>
      <c r="I22" s="447"/>
      <c r="J22" s="448"/>
      <c r="K22" s="1383"/>
      <c r="L22" s="1140"/>
      <c r="M22" s="1131"/>
      <c r="N22" s="1131"/>
      <c r="O22" s="1131"/>
      <c r="P22" s="3393"/>
      <c r="Q22" s="1810"/>
      <c r="R22" s="774"/>
      <c r="S22" s="775"/>
      <c r="T22" s="774"/>
      <c r="U22" s="775"/>
      <c r="V22" s="774"/>
      <c r="W22" s="775"/>
      <c r="X22" s="1813"/>
      <c r="Y22" s="3323"/>
      <c r="Z22" s="1814"/>
      <c r="AA22" s="1811">
        <v>1</v>
      </c>
      <c r="AB22" s="1811">
        <v>1</v>
      </c>
      <c r="AC22" s="1811">
        <v>1</v>
      </c>
    </row>
    <row r="23" spans="1:29" ht="99.75">
      <c r="A23" s="428"/>
      <c r="B23" s="451" t="s">
        <v>2099</v>
      </c>
      <c r="C23" s="2660" t="str">
        <f>估价对象房地状况!C9</f>
        <v>区域自然环境：未来科技城滨河公园；人文环境：无展览馆、博物馆等；综合评价环境状况一般。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393"/>
      <c r="Q23" s="1810" t="str">
        <f>B23</f>
        <v>自然及人文环境</v>
      </c>
      <c r="R23" s="774" t="s">
        <v>17</v>
      </c>
      <c r="S23" s="775">
        <f>F23</f>
        <v>100</v>
      </c>
      <c r="T23" s="774" t="s">
        <v>17</v>
      </c>
      <c r="U23" s="775">
        <f>H23</f>
        <v>100</v>
      </c>
      <c r="V23" s="774" t="s">
        <v>17</v>
      </c>
      <c r="W23" s="775">
        <f>J23</f>
        <v>100</v>
      </c>
      <c r="X23" s="1813"/>
      <c r="Y23" s="3323"/>
      <c r="Z23" s="1814" t="str">
        <f>Q23</f>
        <v>自然及人文环境</v>
      </c>
      <c r="AA23" s="1811">
        <f t="shared" si="3"/>
        <v>1</v>
      </c>
      <c r="AB23" s="1811">
        <f t="shared" si="4"/>
        <v>1</v>
      </c>
      <c r="AC23" s="1811">
        <f t="shared" si="5"/>
        <v>1</v>
      </c>
    </row>
    <row r="24" spans="1:29" ht="15">
      <c r="A24" s="428"/>
      <c r="B24" s="456"/>
      <c r="C24" s="447"/>
      <c r="D24" s="448"/>
      <c r="E24" s="2602"/>
      <c r="F24" s="449"/>
      <c r="G24" s="2601"/>
      <c r="H24" s="448"/>
      <c r="I24" s="2602"/>
      <c r="J24" s="448"/>
      <c r="K24" s="615"/>
      <c r="L24" s="1140"/>
      <c r="M24" s="1131"/>
      <c r="N24" s="1131"/>
      <c r="O24" s="1131"/>
      <c r="P24" s="3393"/>
      <c r="Q24" s="1810"/>
      <c r="R24" s="774"/>
      <c r="S24" s="775"/>
      <c r="T24" s="774"/>
      <c r="U24" s="775"/>
      <c r="V24" s="774"/>
      <c r="W24" s="775"/>
      <c r="X24" s="1813"/>
      <c r="Y24" s="3323"/>
      <c r="Z24" s="1814"/>
      <c r="AA24" s="1811">
        <v>1</v>
      </c>
      <c r="AB24" s="1811">
        <v>1</v>
      </c>
      <c r="AC24" s="1811">
        <v>1</v>
      </c>
    </row>
    <row r="25" spans="1:29" ht="15">
      <c r="A25" s="428"/>
      <c r="B25" s="422" t="s">
        <v>2651</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393"/>
      <c r="Q25" s="1810" t="str">
        <f t="shared" ref="Q25:Q46" si="11">B25</f>
        <v>临街状况</v>
      </c>
      <c r="R25" s="774" t="s">
        <v>17</v>
      </c>
      <c r="S25" s="775">
        <f>F25</f>
        <v>100</v>
      </c>
      <c r="T25" s="774" t="s">
        <v>17</v>
      </c>
      <c r="U25" s="775">
        <f>H25</f>
        <v>100</v>
      </c>
      <c r="V25" s="774" t="s">
        <v>17</v>
      </c>
      <c r="W25" s="775">
        <f>J25</f>
        <v>100</v>
      </c>
      <c r="X25" s="1813"/>
      <c r="Y25" s="3323"/>
      <c r="Z25" s="1814" t="str">
        <f>Q25</f>
        <v>临街状况</v>
      </c>
      <c r="AA25" s="1811">
        <f t="shared" si="3"/>
        <v>1</v>
      </c>
      <c r="AB25" s="1811">
        <f t="shared" si="4"/>
        <v>1</v>
      </c>
      <c r="AC25" s="1811">
        <f t="shared" si="5"/>
        <v>1</v>
      </c>
    </row>
    <row r="26" spans="1:29" ht="15">
      <c r="A26" s="428"/>
      <c r="B26" s="1386" t="s">
        <v>2652</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393"/>
      <c r="Q26" s="1810" t="str">
        <f t="shared" si="11"/>
        <v>平面位置/可视性</v>
      </c>
      <c r="R26" s="774" t="s">
        <v>17</v>
      </c>
      <c r="S26" s="775">
        <f>F26</f>
        <v>100</v>
      </c>
      <c r="T26" s="774" t="s">
        <v>17</v>
      </c>
      <c r="U26" s="775">
        <f>H26</f>
        <v>100</v>
      </c>
      <c r="V26" s="774" t="s">
        <v>17</v>
      </c>
      <c r="W26" s="775">
        <f>J26</f>
        <v>100</v>
      </c>
      <c r="X26" s="1813"/>
      <c r="Y26" s="3323"/>
      <c r="Z26" s="1814" t="str">
        <f>Q26</f>
        <v>平面位置/可视性</v>
      </c>
      <c r="AA26" s="1811">
        <f t="shared" si="3"/>
        <v>1</v>
      </c>
      <c r="AB26" s="1811">
        <f t="shared" si="4"/>
        <v>1</v>
      </c>
      <c r="AC26" s="1811">
        <f t="shared" si="5"/>
        <v>1</v>
      </c>
    </row>
    <row r="27" spans="1:29" s="117" customFormat="1" ht="15">
      <c r="A27" s="431"/>
      <c r="B27" s="451" t="s">
        <v>2653</v>
      </c>
      <c r="C27" s="2661"/>
      <c r="D27" s="462">
        <v>100</v>
      </c>
      <c r="E27" s="2661"/>
      <c r="F27" s="464">
        <f>SUMIF(90:90,E27,91:91)-SUMIF(90:90,C27,91:91)+100</f>
        <v>100</v>
      </c>
      <c r="G27" s="2661"/>
      <c r="H27" s="462">
        <f>SUMIF(90:90,G27,91:91)-SUMIF(90:90,C27,91:91)+100</f>
        <v>100</v>
      </c>
      <c r="I27" s="2661"/>
      <c r="J27" s="462">
        <f>SUMIF(90:90,I27,91:91)-SUMIF(90:90,C27,91:91)+100</f>
        <v>100</v>
      </c>
      <c r="K27" s="612"/>
      <c r="L27" s="1132"/>
      <c r="M27" s="1133"/>
      <c r="N27" s="1133"/>
      <c r="O27" s="1133"/>
      <c r="P27" s="3393"/>
      <c r="Q27" s="1795" t="str">
        <f t="shared" si="11"/>
        <v>人流量</v>
      </c>
      <c r="R27" s="770" t="s">
        <v>17</v>
      </c>
      <c r="S27" s="771">
        <f>F27</f>
        <v>100</v>
      </c>
      <c r="T27" s="770" t="s">
        <v>17</v>
      </c>
      <c r="U27" s="771">
        <f>H27</f>
        <v>100</v>
      </c>
      <c r="V27" s="770" t="s">
        <v>17</v>
      </c>
      <c r="W27" s="771">
        <f>J27</f>
        <v>100</v>
      </c>
      <c r="X27" s="772"/>
      <c r="Y27" s="3323"/>
      <c r="Z27" s="55" t="str">
        <f>Q27</f>
        <v>人流量</v>
      </c>
      <c r="AA27" s="1811">
        <f>D27/F27</f>
        <v>1</v>
      </c>
      <c r="AB27" s="1811">
        <f>D27/H27</f>
        <v>1</v>
      </c>
      <c r="AC27" s="1811">
        <f>D27/J27</f>
        <v>1</v>
      </c>
    </row>
    <row r="28" spans="1:29" ht="15">
      <c r="A28" s="428"/>
      <c r="B28" s="422" t="s">
        <v>2654</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393"/>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323"/>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393"/>
      <c r="Q29" s="1810">
        <f t="shared" si="11"/>
        <v>111</v>
      </c>
      <c r="R29" s="774" t="s">
        <v>17</v>
      </c>
      <c r="S29" s="775">
        <f t="shared" si="12"/>
        <v>100</v>
      </c>
      <c r="T29" s="774" t="s">
        <v>17</v>
      </c>
      <c r="U29" s="775">
        <f t="shared" si="13"/>
        <v>100</v>
      </c>
      <c r="V29" s="774" t="s">
        <v>17</v>
      </c>
      <c r="W29" s="775">
        <f t="shared" si="14"/>
        <v>100</v>
      </c>
      <c r="X29" s="1813"/>
      <c r="Y29" s="3323"/>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393"/>
      <c r="Q30" s="1810">
        <f t="shared" si="11"/>
        <v>111</v>
      </c>
      <c r="R30" s="774" t="s">
        <v>17</v>
      </c>
      <c r="S30" s="775">
        <f t="shared" si="12"/>
        <v>100</v>
      </c>
      <c r="T30" s="774" t="s">
        <v>17</v>
      </c>
      <c r="U30" s="775">
        <f t="shared" si="13"/>
        <v>100</v>
      </c>
      <c r="V30" s="774" t="s">
        <v>17</v>
      </c>
      <c r="W30" s="775">
        <f t="shared" si="14"/>
        <v>100</v>
      </c>
      <c r="X30" s="1813"/>
      <c r="Y30" s="3323"/>
      <c r="Z30" s="1814">
        <f t="shared" si="15"/>
        <v>111</v>
      </c>
      <c r="AA30" s="1811">
        <f t="shared" si="3"/>
        <v>1</v>
      </c>
      <c r="AB30" s="1811">
        <f t="shared" si="4"/>
        <v>1</v>
      </c>
      <c r="AC30" s="1811">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393"/>
      <c r="Q31" s="1810">
        <f t="shared" si="11"/>
        <v>111</v>
      </c>
      <c r="R31" s="774" t="s">
        <v>17</v>
      </c>
      <c r="S31" s="775">
        <f t="shared" si="12"/>
        <v>100</v>
      </c>
      <c r="T31" s="774" t="s">
        <v>17</v>
      </c>
      <c r="U31" s="775">
        <f t="shared" si="13"/>
        <v>100</v>
      </c>
      <c r="V31" s="774" t="s">
        <v>17</v>
      </c>
      <c r="W31" s="775">
        <f t="shared" si="14"/>
        <v>100</v>
      </c>
      <c r="X31" s="1813"/>
      <c r="Y31" s="3323"/>
      <c r="Z31" s="1814">
        <f t="shared" si="15"/>
        <v>111</v>
      </c>
      <c r="AA31" s="1811">
        <f t="shared" si="3"/>
        <v>1</v>
      </c>
      <c r="AB31" s="1811">
        <f t="shared" si="4"/>
        <v>1</v>
      </c>
      <c r="AC31" s="1811">
        <f t="shared" si="5"/>
        <v>1</v>
      </c>
    </row>
    <row r="32" spans="1:29" ht="15">
      <c r="A32" s="440" t="s">
        <v>2558</v>
      </c>
      <c r="B32" s="71" t="s">
        <v>2655</v>
      </c>
      <c r="C32" s="2614"/>
      <c r="D32" s="467">
        <v>100</v>
      </c>
      <c r="E32" s="2614"/>
      <c r="F32" s="461">
        <f>SUMIF(100:100,E32,101:101)-SUMIF(100:100,C32,101:101)+100</f>
        <v>100</v>
      </c>
      <c r="G32" s="2614"/>
      <c r="H32" s="435">
        <f>SUMIF(100:100,G32,101:101)-SUMIF(100:100,C32,101:101)+100</f>
        <v>100</v>
      </c>
      <c r="I32" s="2614"/>
      <c r="J32" s="467">
        <f>SUMIF(100:100,I32,101:101)-SUMIF(100:100,C32,101:101)+100</f>
        <v>100</v>
      </c>
      <c r="K32" s="612"/>
      <c r="L32" s="1140"/>
      <c r="M32" s="1131"/>
      <c r="N32" s="1131"/>
      <c r="O32" s="1131"/>
      <c r="P32" s="3388" t="s">
        <v>2560</v>
      </c>
      <c r="Q32" s="1810" t="str">
        <f t="shared" si="11"/>
        <v>商业类型</v>
      </c>
      <c r="R32" s="774" t="s">
        <v>17</v>
      </c>
      <c r="S32" s="775">
        <f t="shared" si="12"/>
        <v>100</v>
      </c>
      <c r="T32" s="774" t="s">
        <v>17</v>
      </c>
      <c r="U32" s="775">
        <f t="shared" si="13"/>
        <v>100</v>
      </c>
      <c r="V32" s="774" t="s">
        <v>17</v>
      </c>
      <c r="W32" s="775">
        <f t="shared" si="14"/>
        <v>100</v>
      </c>
      <c r="X32" s="1813"/>
      <c r="Y32" s="3325" t="s">
        <v>2560</v>
      </c>
      <c r="Z32" s="1814" t="str">
        <f t="shared" si="15"/>
        <v>商业类型</v>
      </c>
      <c r="AA32" s="1811">
        <f t="shared" si="3"/>
        <v>1</v>
      </c>
      <c r="AB32" s="1811">
        <f t="shared" si="4"/>
        <v>1</v>
      </c>
      <c r="AC32" s="1811">
        <f t="shared" si="5"/>
        <v>1</v>
      </c>
    </row>
    <row r="33" spans="1:29" s="471" customFormat="1" ht="15">
      <c r="A33" s="468"/>
      <c r="B33" s="422" t="s">
        <v>2561</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389"/>
      <c r="Q33" s="776" t="str">
        <f t="shared" si="11"/>
        <v>项目建筑规模</v>
      </c>
      <c r="R33" s="777" t="s">
        <v>17</v>
      </c>
      <c r="S33" s="778" t="e">
        <f t="shared" si="12"/>
        <v>#N/A</v>
      </c>
      <c r="T33" s="777" t="s">
        <v>17</v>
      </c>
      <c r="U33" s="778" t="e">
        <f t="shared" si="13"/>
        <v>#N/A</v>
      </c>
      <c r="V33" s="777" t="s">
        <v>17</v>
      </c>
      <c r="W33" s="778" t="e">
        <f t="shared" si="14"/>
        <v>#N/A</v>
      </c>
      <c r="X33" s="779"/>
      <c r="Y33" s="3325"/>
      <c r="Z33" s="780" t="str">
        <f t="shared" si="15"/>
        <v>项目建筑规模</v>
      </c>
      <c r="AA33" s="1811" t="e">
        <f t="shared" si="3"/>
        <v>#N/A</v>
      </c>
      <c r="AB33" s="1811" t="e">
        <f t="shared" si="4"/>
        <v>#N/A</v>
      </c>
      <c r="AC33" s="1811" t="e">
        <f t="shared" si="5"/>
        <v>#N/A</v>
      </c>
    </row>
    <row r="34" spans="1:29" ht="15">
      <c r="A34" s="472"/>
      <c r="B34" s="422" t="s">
        <v>2562</v>
      </c>
      <c r="C34" s="2616"/>
      <c r="D34" s="435">
        <v>100</v>
      </c>
      <c r="E34" s="2616"/>
      <c r="F34" s="461">
        <f>SUMIF(105:105,E34,106:106)-SUMIF(105:105,C34,106:106)+100</f>
        <v>100</v>
      </c>
      <c r="G34" s="2616"/>
      <c r="H34" s="435">
        <f>SUMIF(105:105,G34,106:106)-SUMIF(105:105,C34,106:106)+100</f>
        <v>100</v>
      </c>
      <c r="I34" s="2616"/>
      <c r="J34" s="435">
        <f>SUMIF(105:105,I34,106:106)-SUMIF(105:105,C34,106:106)+100</f>
        <v>100</v>
      </c>
      <c r="K34" s="612"/>
      <c r="L34" s="1140"/>
      <c r="M34" s="1131"/>
      <c r="N34" s="1131"/>
      <c r="O34" s="1131"/>
      <c r="P34" s="3389"/>
      <c r="Q34" s="1810" t="str">
        <f t="shared" si="11"/>
        <v>建筑结构</v>
      </c>
      <c r="R34" s="774" t="s">
        <v>17</v>
      </c>
      <c r="S34" s="775">
        <f t="shared" si="12"/>
        <v>100</v>
      </c>
      <c r="T34" s="774" t="s">
        <v>17</v>
      </c>
      <c r="U34" s="775">
        <f t="shared" si="13"/>
        <v>100</v>
      </c>
      <c r="V34" s="774" t="s">
        <v>17</v>
      </c>
      <c r="W34" s="775">
        <f t="shared" si="14"/>
        <v>100</v>
      </c>
      <c r="X34" s="1813"/>
      <c r="Y34" s="3325"/>
      <c r="Z34" s="1814" t="str">
        <f t="shared" si="15"/>
        <v>建筑结构</v>
      </c>
      <c r="AA34" s="1811">
        <f t="shared" si="3"/>
        <v>1</v>
      </c>
      <c r="AB34" s="1811">
        <f t="shared" si="4"/>
        <v>1</v>
      </c>
      <c r="AC34" s="1811">
        <f t="shared" si="5"/>
        <v>1</v>
      </c>
    </row>
    <row r="35" spans="1:29" ht="15">
      <c r="A35" s="472"/>
      <c r="B35" s="422" t="s">
        <v>2656</v>
      </c>
      <c r="C35" s="2610"/>
      <c r="D35" s="435">
        <v>100</v>
      </c>
      <c r="E35" s="2610"/>
      <c r="F35" s="461">
        <f>SUMIF(107:107,E35,108:108)-SUMIF(107:107,C35,108:108)+100</f>
        <v>100</v>
      </c>
      <c r="G35" s="2610"/>
      <c r="H35" s="435">
        <f>SUMIF(107:107,G35,108:108)-SUMIF(107:107,C35,108:108)+100</f>
        <v>100</v>
      </c>
      <c r="I35" s="2610"/>
      <c r="J35" s="435">
        <f>SUMIF(107:107,I35,108:108)-SUMIF(107:107,C35,108:108)+100</f>
        <v>100</v>
      </c>
      <c r="K35" s="612"/>
      <c r="L35" s="1140"/>
      <c r="M35" s="1131"/>
      <c r="N35" s="1131"/>
      <c r="O35" s="1131"/>
      <c r="P35" s="3389"/>
      <c r="Q35" s="1810" t="str">
        <f t="shared" si="11"/>
        <v>公共部分装修</v>
      </c>
      <c r="R35" s="774" t="s">
        <v>17</v>
      </c>
      <c r="S35" s="775">
        <f t="shared" si="12"/>
        <v>100</v>
      </c>
      <c r="T35" s="774" t="s">
        <v>17</v>
      </c>
      <c r="U35" s="775">
        <f t="shared" si="13"/>
        <v>100</v>
      </c>
      <c r="V35" s="774" t="s">
        <v>17</v>
      </c>
      <c r="W35" s="775">
        <f t="shared" si="14"/>
        <v>100</v>
      </c>
      <c r="X35" s="1813"/>
      <c r="Y35" s="3325"/>
      <c r="Z35" s="1814" t="str">
        <f t="shared" si="15"/>
        <v>公共部分装修</v>
      </c>
      <c r="AA35" s="1811">
        <f t="shared" si="3"/>
        <v>1</v>
      </c>
      <c r="AB35" s="1811">
        <f t="shared" si="4"/>
        <v>1</v>
      </c>
      <c r="AC35" s="1811">
        <f t="shared" si="5"/>
        <v>1</v>
      </c>
    </row>
    <row r="36" spans="1:29" ht="15">
      <c r="A36" s="472"/>
      <c r="B36" s="422" t="s">
        <v>2657</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389"/>
      <c r="Q36" s="1810" t="str">
        <f t="shared" si="11"/>
        <v>成新度</v>
      </c>
      <c r="R36" s="774" t="s">
        <v>17</v>
      </c>
      <c r="S36" s="775" t="e">
        <f t="shared" si="12"/>
        <v>#N/A</v>
      </c>
      <c r="T36" s="774" t="s">
        <v>17</v>
      </c>
      <c r="U36" s="775" t="e">
        <f t="shared" si="13"/>
        <v>#N/A</v>
      </c>
      <c r="V36" s="774" t="s">
        <v>17</v>
      </c>
      <c r="W36" s="775" t="e">
        <f t="shared" si="14"/>
        <v>#N/A</v>
      </c>
      <c r="X36" s="1813"/>
      <c r="Y36" s="3325"/>
      <c r="Z36" s="1814" t="str">
        <f t="shared" si="15"/>
        <v>成新度</v>
      </c>
      <c r="AA36" s="1811" t="e">
        <f t="shared" si="3"/>
        <v>#N/A</v>
      </c>
      <c r="AB36" s="1811" t="e">
        <f t="shared" si="4"/>
        <v>#N/A</v>
      </c>
      <c r="AC36" s="1811" t="e">
        <f t="shared" si="5"/>
        <v>#N/A</v>
      </c>
    </row>
    <row r="37" spans="1:29" s="117" customFormat="1" ht="15">
      <c r="A37" s="473"/>
      <c r="B37" s="422" t="s">
        <v>2658</v>
      </c>
      <c r="C37" s="2610"/>
      <c r="D37" s="136">
        <v>100</v>
      </c>
      <c r="E37" s="2610"/>
      <c r="F37" s="461">
        <f>SUMIF(112:112,E37,113:113)-SUMIF(112:112,C37,113:113)+100</f>
        <v>100</v>
      </c>
      <c r="G37" s="2610"/>
      <c r="H37" s="435">
        <f>SUMIF(112:112,G37,113:113)-SUMIF(112:112,C37,113:113)+100</f>
        <v>100</v>
      </c>
      <c r="I37" s="2610"/>
      <c r="J37" s="435">
        <f>SUMIF(112:112,I37,113:113)-SUMIF(112:112,C37,113:113)+100</f>
        <v>100</v>
      </c>
      <c r="K37" s="612"/>
      <c r="L37" s="1132"/>
      <c r="M37" s="1133"/>
      <c r="N37" s="1133"/>
      <c r="O37" s="1133"/>
      <c r="P37" s="3389"/>
      <c r="Q37" s="1795" t="str">
        <f t="shared" si="11"/>
        <v>市政基础设施</v>
      </c>
      <c r="R37" s="770" t="s">
        <v>17</v>
      </c>
      <c r="S37" s="771">
        <f t="shared" si="12"/>
        <v>100</v>
      </c>
      <c r="T37" s="770" t="s">
        <v>17</v>
      </c>
      <c r="U37" s="771">
        <f t="shared" si="13"/>
        <v>100</v>
      </c>
      <c r="V37" s="770" t="s">
        <v>17</v>
      </c>
      <c r="W37" s="771">
        <f t="shared" si="14"/>
        <v>100</v>
      </c>
      <c r="X37" s="772"/>
      <c r="Y37" s="3325"/>
      <c r="Z37" s="55" t="str">
        <f t="shared" si="15"/>
        <v>市政基础设施</v>
      </c>
      <c r="AA37" s="773">
        <f t="shared" si="3"/>
        <v>1</v>
      </c>
      <c r="AB37" s="773">
        <f t="shared" si="4"/>
        <v>1</v>
      </c>
      <c r="AC37" s="773">
        <f t="shared" si="5"/>
        <v>1</v>
      </c>
    </row>
    <row r="38" spans="1:29" ht="15">
      <c r="A38" s="472"/>
      <c r="B38" s="422" t="s">
        <v>2659</v>
      </c>
      <c r="C38" s="2610"/>
      <c r="D38" s="435">
        <v>100</v>
      </c>
      <c r="E38" s="2610"/>
      <c r="F38" s="461">
        <f>SUMIF(114:114,E38,115:115)-SUMIF(114:114,C38,115:115)+100</f>
        <v>100</v>
      </c>
      <c r="G38" s="2610"/>
      <c r="H38" s="435">
        <f>SUMIF(114:114,G38,115:115)-SUMIF(114:114,C38,115:115)+100</f>
        <v>100</v>
      </c>
      <c r="I38" s="2610"/>
      <c r="J38" s="435">
        <f>SUMIF(114:114,I38,115:115)-SUMIF(114:114,C38,115:115)+100</f>
        <v>100</v>
      </c>
      <c r="K38" s="612"/>
      <c r="L38" s="1140"/>
      <c r="M38" s="1131"/>
      <c r="N38" s="1131"/>
      <c r="O38" s="1131"/>
      <c r="P38" s="3389" t="s">
        <v>2560</v>
      </c>
      <c r="Q38" s="1810" t="str">
        <f t="shared" si="11"/>
        <v>业态</v>
      </c>
      <c r="R38" s="774" t="s">
        <v>17</v>
      </c>
      <c r="S38" s="775">
        <f t="shared" si="12"/>
        <v>100</v>
      </c>
      <c r="T38" s="774" t="s">
        <v>17</v>
      </c>
      <c r="U38" s="775">
        <f t="shared" si="13"/>
        <v>100</v>
      </c>
      <c r="V38" s="774" t="s">
        <v>17</v>
      </c>
      <c r="W38" s="775">
        <f t="shared" si="14"/>
        <v>100</v>
      </c>
      <c r="X38" s="1813"/>
      <c r="Y38" s="3325" t="s">
        <v>2560</v>
      </c>
      <c r="Z38" s="1814" t="str">
        <f t="shared" si="15"/>
        <v>业态</v>
      </c>
      <c r="AA38" s="1811">
        <f t="shared" si="3"/>
        <v>1</v>
      </c>
      <c r="AB38" s="1811">
        <f t="shared" si="4"/>
        <v>1</v>
      </c>
      <c r="AC38" s="1811">
        <f t="shared" si="5"/>
        <v>1</v>
      </c>
    </row>
    <row r="39" spans="1:29" ht="15">
      <c r="A39" s="472"/>
      <c r="B39" s="422" t="s">
        <v>2660</v>
      </c>
      <c r="C39" s="2610"/>
      <c r="D39" s="435">
        <v>100</v>
      </c>
      <c r="E39" s="2610"/>
      <c r="F39" s="461">
        <f>SUMIF(116:116,E39,117:117)-SUMIF(116:116,C39,117:117)+100</f>
        <v>100</v>
      </c>
      <c r="G39" s="2610"/>
      <c r="H39" s="435">
        <f>SUMIF(116:116,G39,117:117)-SUMIF(116:116,C39,117:117)+100</f>
        <v>100</v>
      </c>
      <c r="I39" s="2610"/>
      <c r="J39" s="435">
        <f>SUMIF(116:116,I39,117:117)-SUMIF(116:116,C39,117:117)+100</f>
        <v>100</v>
      </c>
      <c r="K39" s="612"/>
      <c r="L39" s="1140"/>
      <c r="M39" s="1131"/>
      <c r="N39" s="1131"/>
      <c r="O39" s="1131"/>
      <c r="P39" s="3389"/>
      <c r="Q39" s="1810" t="str">
        <f t="shared" si="11"/>
        <v>层高</v>
      </c>
      <c r="R39" s="774" t="s">
        <v>17</v>
      </c>
      <c r="S39" s="775">
        <f t="shared" si="12"/>
        <v>100</v>
      </c>
      <c r="T39" s="774" t="s">
        <v>17</v>
      </c>
      <c r="U39" s="775">
        <f t="shared" si="13"/>
        <v>100</v>
      </c>
      <c r="V39" s="774" t="s">
        <v>17</v>
      </c>
      <c r="W39" s="775">
        <f t="shared" si="14"/>
        <v>100</v>
      </c>
      <c r="X39" s="1813"/>
      <c r="Y39" s="3325"/>
      <c r="Z39" s="1814" t="str">
        <f t="shared" si="15"/>
        <v>层高</v>
      </c>
      <c r="AA39" s="1811">
        <f t="shared" si="3"/>
        <v>1</v>
      </c>
      <c r="AB39" s="1811">
        <f t="shared" si="4"/>
        <v>1</v>
      </c>
      <c r="AC39" s="1811">
        <f t="shared" si="5"/>
        <v>1</v>
      </c>
    </row>
    <row r="40" spans="1:29" ht="15">
      <c r="A40" s="472"/>
      <c r="B40" s="422" t="s">
        <v>2661</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389"/>
      <c r="Q40" s="1810" t="str">
        <f t="shared" si="11"/>
        <v>单套建筑面积</v>
      </c>
      <c r="R40" s="774" t="s">
        <v>17</v>
      </c>
      <c r="S40" s="775">
        <f t="shared" si="12"/>
        <v>100</v>
      </c>
      <c r="T40" s="774" t="s">
        <v>17</v>
      </c>
      <c r="U40" s="775">
        <f t="shared" si="13"/>
        <v>100</v>
      </c>
      <c r="V40" s="774" t="s">
        <v>17</v>
      </c>
      <c r="W40" s="775">
        <f t="shared" si="14"/>
        <v>100</v>
      </c>
      <c r="X40" s="1813"/>
      <c r="Y40" s="3325"/>
      <c r="Z40" s="1814" t="str">
        <f t="shared" si="15"/>
        <v>单套建筑面积</v>
      </c>
      <c r="AA40" s="1811">
        <f t="shared" si="3"/>
        <v>1</v>
      </c>
      <c r="AB40" s="1811">
        <f t="shared" si="4"/>
        <v>1</v>
      </c>
      <c r="AC40" s="1811">
        <f t="shared" si="5"/>
        <v>1</v>
      </c>
    </row>
    <row r="41" spans="1:29" s="471" customFormat="1" ht="15">
      <c r="A41" s="468"/>
      <c r="B41" s="1812" t="s">
        <v>2662</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389"/>
      <c r="Q41" s="776" t="str">
        <f t="shared" si="11"/>
        <v>进深比</v>
      </c>
      <c r="R41" s="777" t="s">
        <v>17</v>
      </c>
      <c r="S41" s="778">
        <f t="shared" si="12"/>
        <v>100</v>
      </c>
      <c r="T41" s="777" t="s">
        <v>17</v>
      </c>
      <c r="U41" s="778">
        <f t="shared" si="13"/>
        <v>100</v>
      </c>
      <c r="V41" s="777" t="s">
        <v>17</v>
      </c>
      <c r="W41" s="778">
        <f t="shared" si="14"/>
        <v>100</v>
      </c>
      <c r="X41" s="779"/>
      <c r="Y41" s="3325"/>
      <c r="Z41" s="780" t="str">
        <f t="shared" si="15"/>
        <v>进深比</v>
      </c>
      <c r="AA41" s="1811">
        <f t="shared" si="3"/>
        <v>1</v>
      </c>
      <c r="AB41" s="1811">
        <f t="shared" si="4"/>
        <v>1</v>
      </c>
      <c r="AC41" s="1811">
        <f t="shared" si="5"/>
        <v>1</v>
      </c>
    </row>
    <row r="42" spans="1:29" ht="15">
      <c r="A42" s="472"/>
      <c r="B42" s="422" t="s">
        <v>2663</v>
      </c>
      <c r="C42" s="2610"/>
      <c r="D42" s="435">
        <v>100</v>
      </c>
      <c r="E42" s="2610"/>
      <c r="F42" s="461">
        <f>SUMIF(122:122,E42,123:123)-SUMIF(122:122,C42,123:123)+100</f>
        <v>100</v>
      </c>
      <c r="G42" s="2610"/>
      <c r="H42" s="435">
        <f>SUMIF(122:122,G42,123:123)-SUMIF(122:122,C42,123:123)+100</f>
        <v>100</v>
      </c>
      <c r="I42" s="2610"/>
      <c r="J42" s="435">
        <f>SUMIF(122:122,I42,123:123)-SUMIF(122:122,C42,123:123)+100</f>
        <v>100</v>
      </c>
      <c r="K42" s="612"/>
      <c r="L42" s="1140"/>
      <c r="M42" s="1131"/>
      <c r="N42" s="1131"/>
      <c r="O42" s="1131"/>
      <c r="P42" s="3389"/>
      <c r="Q42" s="1810" t="str">
        <f t="shared" si="11"/>
        <v>内部装修</v>
      </c>
      <c r="R42" s="774" t="s">
        <v>17</v>
      </c>
      <c r="S42" s="775">
        <f t="shared" si="12"/>
        <v>100</v>
      </c>
      <c r="T42" s="774" t="s">
        <v>17</v>
      </c>
      <c r="U42" s="775">
        <f t="shared" si="13"/>
        <v>100</v>
      </c>
      <c r="V42" s="774" t="s">
        <v>17</v>
      </c>
      <c r="W42" s="775">
        <f t="shared" si="14"/>
        <v>100</v>
      </c>
      <c r="X42" s="1813"/>
      <c r="Y42" s="3325"/>
      <c r="Z42" s="1814" t="str">
        <f t="shared" si="15"/>
        <v>内部装修</v>
      </c>
      <c r="AA42" s="1811">
        <f t="shared" si="3"/>
        <v>1</v>
      </c>
      <c r="AB42" s="1811">
        <f t="shared" si="4"/>
        <v>1</v>
      </c>
      <c r="AC42" s="1811">
        <f t="shared" si="5"/>
        <v>1</v>
      </c>
    </row>
    <row r="43" spans="1:29" ht="15">
      <c r="A43" s="472"/>
      <c r="B43" s="422" t="s">
        <v>2571</v>
      </c>
      <c r="C43" s="2610"/>
      <c r="D43" s="435">
        <v>100</v>
      </c>
      <c r="E43" s="2610"/>
      <c r="F43" s="461">
        <f>SUMIF(124:124,E43,125:125)-SUMIF(124:124,C43,125:125)+100</f>
        <v>100</v>
      </c>
      <c r="G43" s="2610"/>
      <c r="H43" s="435">
        <f>SUMIF(124:124,G43,125:125)-SUMIF(124:124,C43,125:125)+100</f>
        <v>100</v>
      </c>
      <c r="I43" s="2610"/>
      <c r="J43" s="435">
        <f>SUMIF(124:124,I43,125:125)-SUMIF(124:124,C43,125:125)+100</f>
        <v>100</v>
      </c>
      <c r="K43" s="612"/>
      <c r="L43" s="1140"/>
      <c r="M43" s="1131"/>
      <c r="N43" s="1131"/>
      <c r="O43" s="1131"/>
      <c r="P43" s="3389"/>
      <c r="Q43" s="1810" t="str">
        <f t="shared" si="11"/>
        <v>内部装修维护情况</v>
      </c>
      <c r="R43" s="774" t="s">
        <v>17</v>
      </c>
      <c r="S43" s="775">
        <f t="shared" si="12"/>
        <v>100</v>
      </c>
      <c r="T43" s="774" t="s">
        <v>17</v>
      </c>
      <c r="U43" s="775">
        <f t="shared" si="13"/>
        <v>100</v>
      </c>
      <c r="V43" s="774" t="s">
        <v>17</v>
      </c>
      <c r="W43" s="775">
        <f t="shared" si="14"/>
        <v>100</v>
      </c>
      <c r="X43" s="1813"/>
      <c r="Y43" s="3325"/>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389"/>
      <c r="Q44" s="1795">
        <f t="shared" si="11"/>
        <v>111</v>
      </c>
      <c r="R44" s="770" t="s">
        <v>17</v>
      </c>
      <c r="S44" s="771">
        <f t="shared" si="12"/>
        <v>100</v>
      </c>
      <c r="T44" s="770" t="s">
        <v>17</v>
      </c>
      <c r="U44" s="771">
        <f t="shared" si="13"/>
        <v>100</v>
      </c>
      <c r="V44" s="770" t="s">
        <v>17</v>
      </c>
      <c r="W44" s="771">
        <f t="shared" si="14"/>
        <v>100</v>
      </c>
      <c r="X44" s="772"/>
      <c r="Y44" s="3325"/>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389"/>
      <c r="Q45" s="1810">
        <f t="shared" si="11"/>
        <v>111</v>
      </c>
      <c r="R45" s="774" t="s">
        <v>17</v>
      </c>
      <c r="S45" s="775">
        <f t="shared" si="12"/>
        <v>100</v>
      </c>
      <c r="T45" s="774" t="s">
        <v>17</v>
      </c>
      <c r="U45" s="775">
        <f t="shared" si="13"/>
        <v>100</v>
      </c>
      <c r="V45" s="774" t="s">
        <v>17</v>
      </c>
      <c r="W45" s="775">
        <f t="shared" si="14"/>
        <v>100</v>
      </c>
      <c r="X45" s="1813"/>
      <c r="Y45" s="3325"/>
      <c r="Z45" s="1814">
        <f t="shared" si="15"/>
        <v>111</v>
      </c>
      <c r="AA45" s="1811">
        <f t="shared" si="3"/>
        <v>1</v>
      </c>
      <c r="AB45" s="1811">
        <f t="shared" si="4"/>
        <v>1</v>
      </c>
      <c r="AC45" s="1811">
        <f t="shared" si="5"/>
        <v>1</v>
      </c>
    </row>
    <row r="46" spans="1:29" ht="15.75" thickBot="1">
      <c r="A46" s="478"/>
      <c r="B46" s="2599">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390"/>
      <c r="Q46" s="1810">
        <f t="shared" si="11"/>
        <v>111</v>
      </c>
      <c r="R46" s="774" t="s">
        <v>17</v>
      </c>
      <c r="S46" s="775">
        <f t="shared" si="12"/>
        <v>100</v>
      </c>
      <c r="T46" s="774" t="s">
        <v>17</v>
      </c>
      <c r="U46" s="775">
        <f t="shared" si="13"/>
        <v>100</v>
      </c>
      <c r="V46" s="774" t="s">
        <v>17</v>
      </c>
      <c r="W46" s="775">
        <f t="shared" si="14"/>
        <v>100</v>
      </c>
      <c r="X46" s="1813"/>
      <c r="Y46" s="3391"/>
      <c r="Z46" s="1814">
        <f t="shared" si="15"/>
        <v>111</v>
      </c>
      <c r="AA46" s="1811">
        <f t="shared" si="3"/>
        <v>1</v>
      </c>
      <c r="AB46" s="1811">
        <f t="shared" si="4"/>
        <v>1</v>
      </c>
      <c r="AC46" s="1811">
        <f t="shared" si="5"/>
        <v>1</v>
      </c>
    </row>
    <row r="47" spans="1:29" ht="15">
      <c r="A47" s="479" t="s">
        <v>2572</v>
      </c>
      <c r="B47" s="480"/>
      <c r="C47" s="1407" t="s">
        <v>1</v>
      </c>
      <c r="D47" s="1408"/>
      <c r="E47" s="1409"/>
      <c r="F47" s="1410"/>
      <c r="G47" s="1411"/>
      <c r="H47" s="1412"/>
      <c r="I47" s="1409"/>
      <c r="J47" s="1412"/>
      <c r="K47" s="783"/>
      <c r="L47" s="1143"/>
      <c r="M47" s="1144"/>
      <c r="N47" s="1131"/>
      <c r="O47" s="1144"/>
      <c r="P47" s="3320" t="str">
        <f>A47</f>
        <v>成交单价（元/平方米）</v>
      </c>
      <c r="Q47" s="3320"/>
      <c r="R47" s="3326">
        <f>E47</f>
        <v>0</v>
      </c>
      <c r="S47" s="3326"/>
      <c r="T47" s="3326">
        <f>G47</f>
        <v>0</v>
      </c>
      <c r="U47" s="3326"/>
      <c r="V47" s="3326">
        <f>I47</f>
        <v>0</v>
      </c>
      <c r="W47" s="3326"/>
      <c r="X47" s="759"/>
      <c r="Y47" s="781"/>
      <c r="Z47" s="759"/>
      <c r="AA47" s="759"/>
      <c r="AB47" s="759"/>
      <c r="AC47" s="759"/>
    </row>
    <row r="48" spans="1:29" ht="15.75" thickBot="1">
      <c r="A48" s="486" t="s">
        <v>2664</v>
      </c>
      <c r="B48" s="487"/>
      <c r="C48" s="1413" t="e">
        <f>R49</f>
        <v>#DIV/0!</v>
      </c>
      <c r="D48" s="1414"/>
      <c r="E48" s="1415" t="e">
        <f>R48</f>
        <v>#DIV/0!</v>
      </c>
      <c r="F48" s="1415"/>
      <c r="G48" s="1413" t="e">
        <f>T48</f>
        <v>#DIV/0!</v>
      </c>
      <c r="H48" s="1414"/>
      <c r="I48" s="1415" t="e">
        <f>V48</f>
        <v>#DIV/0!</v>
      </c>
      <c r="J48" s="1414"/>
      <c r="K48" s="784"/>
      <c r="L48" s="1143"/>
      <c r="M48" s="1144"/>
      <c r="N48" s="1131"/>
      <c r="O48" s="1144"/>
      <c r="P48" s="3320" t="str">
        <f>A48</f>
        <v>比较价值（元/平方米）</v>
      </c>
      <c r="Q48" s="3320"/>
      <c r="R48" s="3387" t="e">
        <f>IF(F1="售价",ROUND(PRODUCT(R47,AA7:AA46),0),ROUND(PRODUCT(R47,AA7:AA46),1))</f>
        <v>#DIV/0!</v>
      </c>
      <c r="S48" s="3387"/>
      <c r="T48" s="3387" t="e">
        <f>IF(F1="售价",ROUND(PRODUCT(T47,AB7:AB46),0),ROUND(PRODUCT(T47,AB7:AB46),1))</f>
        <v>#DIV/0!</v>
      </c>
      <c r="U48" s="3387"/>
      <c r="V48" s="3387" t="e">
        <f>IF(F1="售价",ROUND(PRODUCT(V47,AC7:AC46),0),ROUND(PRODUCT(V47,AC7:AC46),1))</f>
        <v>#DIV/0!</v>
      </c>
      <c r="W48" s="3387"/>
      <c r="X48" s="759"/>
      <c r="Y48" s="759"/>
      <c r="Z48" s="759"/>
      <c r="AA48" s="759"/>
      <c r="AB48" s="759"/>
      <c r="AC48" s="759"/>
    </row>
    <row r="49" spans="1:29" ht="15.75" thickBot="1">
      <c r="A49" s="492" t="s">
        <v>2665</v>
      </c>
      <c r="B49" s="493"/>
      <c r="C49" s="1417" t="e">
        <f>R49</f>
        <v>#DIV/0!</v>
      </c>
      <c r="D49" s="1417"/>
      <c r="E49" s="1417"/>
      <c r="F49" s="1417"/>
      <c r="G49" s="1417"/>
      <c r="H49" s="1417"/>
      <c r="I49" s="1417"/>
      <c r="J49" s="1417"/>
      <c r="K49" s="785"/>
      <c r="L49" s="1143"/>
      <c r="M49" s="1144"/>
      <c r="N49" s="1131"/>
      <c r="O49" s="1144"/>
      <c r="P49" s="3314" t="str">
        <f>A49</f>
        <v>估价对象XX用房的比较价值（楼面单价，元/平方米）</v>
      </c>
      <c r="Q49" s="3315"/>
      <c r="R49" s="3386" t="e">
        <f>IF(F1="售价",ROUND(AVERAGE(R48:V48),0),ROUND(AVERAGE(R48:V48),1))</f>
        <v>#DIV/0!</v>
      </c>
      <c r="S49" s="3386"/>
      <c r="T49" s="3386"/>
      <c r="U49" s="3386"/>
      <c r="V49" s="3386"/>
      <c r="W49" s="3386"/>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2667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2668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2"/>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2"/>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2669</v>
      </c>
      <c r="B57" s="759"/>
      <c r="C57" s="764"/>
      <c r="D57" s="764"/>
      <c r="E57" s="764"/>
      <c r="F57" s="765"/>
      <c r="G57" s="765"/>
      <c r="H57" s="764"/>
      <c r="I57" s="764"/>
      <c r="J57" s="764"/>
      <c r="K57" s="766"/>
      <c r="L57" s="1161"/>
      <c r="M57" s="1159"/>
      <c r="N57" s="1159"/>
      <c r="O57" s="1159"/>
      <c r="P57" s="2663"/>
      <c r="Q57" s="2664"/>
      <c r="R57" s="759"/>
      <c r="S57" s="759"/>
      <c r="T57" s="759"/>
      <c r="U57" s="759"/>
      <c r="V57" s="759"/>
      <c r="W57" s="759"/>
      <c r="X57" s="759"/>
      <c r="Y57" s="759"/>
      <c r="Z57" s="759"/>
      <c r="AA57" s="759"/>
      <c r="AB57" s="759"/>
      <c r="AC57" s="759"/>
    </row>
    <row r="58" spans="1:29" s="508" customFormat="1" ht="15">
      <c r="A58" s="505" t="s">
        <v>2543</v>
      </c>
      <c r="B58" s="506"/>
      <c r="C58" s="1574" t="str">
        <f>YEAR(C7)&amp;"-"&amp;MONTH(C7)</f>
        <v>2018-1</v>
      </c>
      <c r="D58" s="1575">
        <f>EDATE(C58,-1)</f>
        <v>43070</v>
      </c>
      <c r="E58" s="1575">
        <f t="shared" ref="E58:N58" si="16">EDATE(D58,-1)</f>
        <v>43040</v>
      </c>
      <c r="F58" s="1575">
        <f t="shared" si="16"/>
        <v>43009</v>
      </c>
      <c r="G58" s="1575">
        <f t="shared" si="16"/>
        <v>42979</v>
      </c>
      <c r="H58" s="1575">
        <f t="shared" si="16"/>
        <v>42948</v>
      </c>
      <c r="I58" s="1575">
        <f t="shared" si="16"/>
        <v>42917</v>
      </c>
      <c r="J58" s="1575">
        <f t="shared" si="16"/>
        <v>42887</v>
      </c>
      <c r="K58" s="1575">
        <f t="shared" si="16"/>
        <v>42856</v>
      </c>
      <c r="L58" s="1575">
        <f t="shared" si="16"/>
        <v>42826</v>
      </c>
      <c r="M58" s="1575">
        <f t="shared" si="16"/>
        <v>42795</v>
      </c>
      <c r="N58" s="1575">
        <f t="shared" si="16"/>
        <v>42767</v>
      </c>
      <c r="O58" s="1575">
        <f>EDATE(N58,-1)</f>
        <v>42736</v>
      </c>
      <c r="P58" s="1570"/>
    </row>
    <row r="59" spans="1:29" s="117" customFormat="1" ht="15">
      <c r="A59" s="509"/>
      <c r="B59" s="510"/>
      <c r="C59" s="1573">
        <v>100</v>
      </c>
      <c r="D59" s="512"/>
      <c r="E59" s="512"/>
      <c r="F59" s="512"/>
      <c r="G59" s="512"/>
      <c r="H59" s="512"/>
      <c r="I59" s="512"/>
      <c r="J59" s="512"/>
      <c r="K59" s="512"/>
      <c r="L59" s="512"/>
      <c r="M59" s="513"/>
      <c r="N59" s="512"/>
      <c r="O59" s="513"/>
      <c r="P59" s="2624"/>
    </row>
    <row r="60" spans="1:29" s="117" customFormat="1" ht="15.75" thickBot="1">
      <c r="A60" s="515" t="s">
        <v>2580</v>
      </c>
      <c r="B60" s="516"/>
      <c r="C60" s="517"/>
      <c r="D60" s="518"/>
      <c r="E60" s="518"/>
      <c r="F60" s="518"/>
      <c r="G60" s="518"/>
      <c r="H60" s="518"/>
      <c r="I60" s="518"/>
      <c r="J60" s="518"/>
      <c r="K60" s="518"/>
      <c r="L60" s="518"/>
      <c r="M60" s="519"/>
      <c r="N60" s="518"/>
      <c r="O60" s="519"/>
      <c r="P60" s="2624"/>
      <c r="Q60" s="504"/>
    </row>
    <row r="61" spans="1:29" s="117" customFormat="1" ht="15">
      <c r="A61" s="521" t="s">
        <v>2545</v>
      </c>
      <c r="B61" s="510"/>
      <c r="C61" s="522" t="s">
        <v>2647</v>
      </c>
      <c r="D61" s="523"/>
      <c r="E61" s="523"/>
      <c r="F61" s="523"/>
      <c r="G61" s="523"/>
      <c r="H61" s="523"/>
      <c r="I61" s="523"/>
      <c r="J61" s="523"/>
      <c r="K61" s="523"/>
      <c r="L61" s="524"/>
      <c r="M61" s="525"/>
      <c r="N61" s="1151"/>
      <c r="O61" s="1151"/>
      <c r="P61" s="2625"/>
      <c r="Q61" s="504"/>
    </row>
    <row r="62" spans="1:29" s="117" customFormat="1" ht="15.75" thickBot="1">
      <c r="A62" s="521"/>
      <c r="B62" s="510"/>
      <c r="C62" s="511">
        <v>100</v>
      </c>
      <c r="D62" s="512"/>
      <c r="E62" s="512"/>
      <c r="F62" s="512"/>
      <c r="G62" s="512"/>
      <c r="H62" s="512"/>
      <c r="I62" s="512"/>
      <c r="J62" s="512"/>
      <c r="K62" s="512"/>
      <c r="L62" s="512"/>
      <c r="M62" s="514"/>
      <c r="N62" s="1151"/>
      <c r="O62" s="1151"/>
      <c r="P62" s="2624"/>
      <c r="Q62" s="504"/>
    </row>
    <row r="63" spans="1:29">
      <c r="A63" s="527" t="s">
        <v>2583</v>
      </c>
      <c r="B63" s="528" t="s">
        <v>2549</v>
      </c>
      <c r="C63" s="529">
        <f>C9</f>
        <v>0</v>
      </c>
      <c r="D63" s="530"/>
      <c r="E63" s="530"/>
      <c r="F63" s="530"/>
      <c r="G63" s="530"/>
      <c r="H63" s="530"/>
      <c r="I63" s="530"/>
      <c r="J63" s="530"/>
      <c r="K63" s="531"/>
      <c r="L63" s="532"/>
      <c r="M63" s="533"/>
      <c r="N63" s="1152"/>
      <c r="O63" s="1152"/>
      <c r="P63" s="2626"/>
      <c r="Q63" s="504"/>
    </row>
    <row r="64" spans="1:29" ht="15.75" thickBot="1">
      <c r="A64" s="534"/>
      <c r="B64" s="535"/>
      <c r="C64" s="536">
        <v>100</v>
      </c>
      <c r="D64" s="536"/>
      <c r="E64" s="536"/>
      <c r="F64" s="536"/>
      <c r="G64" s="536"/>
      <c r="H64" s="536"/>
      <c r="I64" s="536"/>
      <c r="J64" s="536"/>
      <c r="K64" s="536"/>
      <c r="L64" s="536"/>
      <c r="M64" s="537"/>
      <c r="N64" s="1153"/>
      <c r="O64" s="1153"/>
      <c r="P64" s="2626"/>
      <c r="Q64" s="504"/>
    </row>
    <row r="65" spans="1:17" ht="27.75" thickTop="1">
      <c r="A65" s="534"/>
      <c r="B65" s="538" t="s">
        <v>2552</v>
      </c>
      <c r="C65" s="539" t="s">
        <v>2584</v>
      </c>
      <c r="D65" s="539" t="s">
        <v>2585</v>
      </c>
      <c r="E65" s="539" t="s">
        <v>2586</v>
      </c>
      <c r="F65" s="539" t="s">
        <v>2587</v>
      </c>
      <c r="G65" s="539" t="s">
        <v>2588</v>
      </c>
      <c r="H65" s="539" t="s">
        <v>2589</v>
      </c>
      <c r="I65" s="539" t="s">
        <v>2590</v>
      </c>
      <c r="J65" s="539"/>
      <c r="K65" s="540"/>
      <c r="L65" s="541"/>
      <c r="M65" s="542"/>
      <c r="N65" s="1152"/>
      <c r="O65" s="1152"/>
      <c r="P65" s="2626"/>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26"/>
      <c r="Q66" s="504"/>
    </row>
    <row r="67" spans="1:17" ht="15.75" thickTop="1">
      <c r="A67" s="534"/>
      <c r="B67" s="546" t="s">
        <v>2553</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26"/>
      <c r="Q67" s="504"/>
    </row>
    <row r="68" spans="1:17" ht="15">
      <c r="A68" s="534"/>
      <c r="B68" s="548"/>
      <c r="C68" s="549"/>
      <c r="D68" s="549"/>
      <c r="E68" s="549"/>
      <c r="F68" s="549"/>
      <c r="G68" s="549"/>
      <c r="H68" s="549"/>
      <c r="I68" s="549"/>
      <c r="J68" s="549"/>
      <c r="K68" s="550"/>
      <c r="L68" s="551"/>
      <c r="M68" s="552"/>
      <c r="N68" s="1152"/>
      <c r="O68" s="1152"/>
      <c r="P68" s="2626"/>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6"/>
      <c r="Q69" s="504"/>
    </row>
    <row r="70" spans="1:17" s="471" customFormat="1" ht="15.75" thickTop="1">
      <c r="A70" s="553"/>
      <c r="B70" s="538">
        <f>B12</f>
        <v>111</v>
      </c>
      <c r="C70" s="554"/>
      <c r="D70" s="554"/>
      <c r="E70" s="554"/>
      <c r="F70" s="554"/>
      <c r="G70" s="554"/>
      <c r="H70" s="555"/>
      <c r="I70" s="555"/>
      <c r="J70" s="555"/>
      <c r="K70" s="555"/>
      <c r="L70" s="556"/>
      <c r="M70" s="557"/>
      <c r="N70" s="1154"/>
      <c r="O70" s="1154"/>
      <c r="P70" s="2627"/>
      <c r="Q70" s="559"/>
    </row>
    <row r="71" spans="1:17" s="471" customFormat="1" ht="15.75" thickBot="1">
      <c r="A71" s="553"/>
      <c r="B71" s="543"/>
      <c r="C71" s="560"/>
      <c r="D71" s="536"/>
      <c r="E71" s="536"/>
      <c r="F71" s="536"/>
      <c r="G71" s="536"/>
      <c r="H71" s="536"/>
      <c r="I71" s="536"/>
      <c r="J71" s="536"/>
      <c r="K71" s="536"/>
      <c r="L71" s="536"/>
      <c r="M71" s="537"/>
      <c r="N71" s="1153"/>
      <c r="O71" s="1153"/>
      <c r="P71" s="2627"/>
      <c r="Q71" s="559"/>
    </row>
    <row r="72" spans="1:17" s="471" customFormat="1" ht="15.75" thickTop="1">
      <c r="A72" s="553"/>
      <c r="B72" s="538">
        <f>B13</f>
        <v>111</v>
      </c>
      <c r="C72" s="554"/>
      <c r="D72" s="554"/>
      <c r="E72" s="554"/>
      <c r="F72" s="554"/>
      <c r="G72" s="554"/>
      <c r="H72" s="555"/>
      <c r="I72" s="555"/>
      <c r="J72" s="555"/>
      <c r="K72" s="555"/>
      <c r="L72" s="556"/>
      <c r="M72" s="557"/>
      <c r="N72" s="1154"/>
      <c r="O72" s="1154"/>
      <c r="P72" s="2628"/>
      <c r="Q72" s="561"/>
    </row>
    <row r="73" spans="1:17" s="471" customFormat="1" ht="15.75" thickBot="1">
      <c r="A73" s="553"/>
      <c r="B73" s="543"/>
      <c r="C73" s="560"/>
      <c r="D73" s="536"/>
      <c r="E73" s="536"/>
      <c r="F73" s="536"/>
      <c r="G73" s="560"/>
      <c r="H73" s="562"/>
      <c r="I73" s="562"/>
      <c r="J73" s="562"/>
      <c r="K73" s="562"/>
      <c r="L73" s="562"/>
      <c r="M73" s="563"/>
      <c r="N73" s="1154"/>
      <c r="O73" s="1154"/>
      <c r="P73" s="2627"/>
      <c r="Q73" s="559"/>
    </row>
    <row r="74" spans="1:17" s="471" customFormat="1" ht="15.75" thickTop="1">
      <c r="A74" s="553"/>
      <c r="B74" s="546">
        <f>B14</f>
        <v>111</v>
      </c>
      <c r="C74" s="554"/>
      <c r="D74" s="554"/>
      <c r="E74" s="554"/>
      <c r="F74" s="554"/>
      <c r="G74" s="523"/>
      <c r="H74" s="564"/>
      <c r="I74" s="564"/>
      <c r="J74" s="564"/>
      <c r="K74" s="564"/>
      <c r="L74" s="565"/>
      <c r="M74" s="566"/>
      <c r="N74" s="1154"/>
      <c r="O74" s="1154"/>
      <c r="P74" s="2629"/>
      <c r="Q74" s="559"/>
    </row>
    <row r="75" spans="1:17" s="471" customFormat="1" ht="15.75" thickBot="1">
      <c r="A75" s="568"/>
      <c r="B75" s="569"/>
      <c r="C75" s="570"/>
      <c r="D75" s="570"/>
      <c r="E75" s="570"/>
      <c r="F75" s="570"/>
      <c r="G75" s="570"/>
      <c r="H75" s="571"/>
      <c r="I75" s="571"/>
      <c r="J75" s="571"/>
      <c r="K75" s="571"/>
      <c r="L75" s="571"/>
      <c r="M75" s="572"/>
      <c r="N75" s="1154"/>
      <c r="O75" s="1154"/>
      <c r="P75" s="2627"/>
      <c r="Q75" s="559"/>
    </row>
    <row r="76" spans="1:17">
      <c r="A76" s="527" t="s">
        <v>2554</v>
      </c>
      <c r="B76" s="528" t="s">
        <v>2591</v>
      </c>
      <c r="C76" s="573" t="s">
        <v>2592</v>
      </c>
      <c r="D76" s="573" t="s">
        <v>2593</v>
      </c>
      <c r="E76" s="573" t="s">
        <v>2594</v>
      </c>
      <c r="F76" s="573" t="s">
        <v>2595</v>
      </c>
      <c r="G76" s="573" t="s">
        <v>2596</v>
      </c>
      <c r="H76" s="529"/>
      <c r="I76" s="529"/>
      <c r="J76" s="529"/>
      <c r="K76" s="574"/>
      <c r="L76" s="575"/>
      <c r="M76" s="576"/>
      <c r="N76" s="1152"/>
      <c r="O76" s="1152"/>
      <c r="P76" s="263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6"/>
      <c r="Q77" s="504"/>
    </row>
    <row r="78" spans="1:17" ht="15.75" thickTop="1">
      <c r="A78" s="534"/>
      <c r="B78" s="538" t="s">
        <v>2597</v>
      </c>
      <c r="C78" s="578" t="s">
        <v>2592</v>
      </c>
      <c r="D78" s="578" t="s">
        <v>2593</v>
      </c>
      <c r="E78" s="578" t="s">
        <v>2594</v>
      </c>
      <c r="F78" s="578" t="s">
        <v>2595</v>
      </c>
      <c r="G78" s="578" t="s">
        <v>2596</v>
      </c>
      <c r="H78" s="539"/>
      <c r="I78" s="539"/>
      <c r="J78" s="539"/>
      <c r="K78" s="540"/>
      <c r="L78" s="541"/>
      <c r="M78" s="542"/>
      <c r="N78" s="1152"/>
      <c r="O78" s="1152"/>
      <c r="P78" s="262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6"/>
      <c r="Q79" s="504"/>
    </row>
    <row r="80" spans="1:17" ht="15.75" thickTop="1">
      <c r="A80" s="534"/>
      <c r="B80" s="538" t="s">
        <v>2598</v>
      </c>
      <c r="C80" s="578" t="s">
        <v>2592</v>
      </c>
      <c r="D80" s="578" t="s">
        <v>2593</v>
      </c>
      <c r="E80" s="578" t="s">
        <v>2594</v>
      </c>
      <c r="F80" s="578" t="s">
        <v>2595</v>
      </c>
      <c r="G80" s="578" t="s">
        <v>2596</v>
      </c>
      <c r="H80" s="539"/>
      <c r="I80" s="539"/>
      <c r="J80" s="539"/>
      <c r="K80" s="540"/>
      <c r="L80" s="541"/>
      <c r="M80" s="542"/>
      <c r="N80" s="1152"/>
      <c r="O80" s="1152"/>
      <c r="P80" s="262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6"/>
      <c r="Q81" s="504"/>
    </row>
    <row r="82" spans="1:17" ht="15.75" thickTop="1">
      <c r="A82" s="534"/>
      <c r="B82" s="546" t="s">
        <v>2650</v>
      </c>
      <c r="C82" s="660" t="s">
        <v>2670</v>
      </c>
      <c r="D82" s="660" t="s">
        <v>2671</v>
      </c>
      <c r="E82" s="660" t="s">
        <v>2672</v>
      </c>
      <c r="F82" s="660" t="s">
        <v>2673</v>
      </c>
      <c r="G82" s="660" t="s">
        <v>2674</v>
      </c>
      <c r="H82" s="539"/>
      <c r="I82" s="539"/>
      <c r="J82" s="539"/>
      <c r="K82" s="539"/>
      <c r="L82" s="539"/>
      <c r="M82" s="1382"/>
      <c r="N82" s="1153"/>
      <c r="O82" s="1153"/>
      <c r="P82" s="2626"/>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26"/>
      <c r="Q83" s="504"/>
    </row>
    <row r="84" spans="1:17" ht="15.75" thickTop="1">
      <c r="A84" s="534"/>
      <c r="B84" s="538" t="s">
        <v>2604</v>
      </c>
      <c r="C84" s="578" t="s">
        <v>2592</v>
      </c>
      <c r="D84" s="578" t="s">
        <v>2593</v>
      </c>
      <c r="E84" s="578" t="s">
        <v>2594</v>
      </c>
      <c r="F84" s="578" t="s">
        <v>2595</v>
      </c>
      <c r="G84" s="578" t="s">
        <v>2596</v>
      </c>
      <c r="H84" s="539"/>
      <c r="I84" s="539"/>
      <c r="J84" s="539"/>
      <c r="K84" s="540"/>
      <c r="L84" s="541"/>
      <c r="M84" s="542"/>
      <c r="N84" s="1152"/>
      <c r="O84" s="1152"/>
      <c r="P84" s="262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6"/>
      <c r="Q85" s="504"/>
    </row>
    <row r="86" spans="1:17" s="117" customFormat="1" ht="15.75" thickTop="1">
      <c r="A86" s="579"/>
      <c r="B86" s="538" t="s">
        <v>2675</v>
      </c>
      <c r="C86" s="554"/>
      <c r="D86" s="554"/>
      <c r="E86" s="554"/>
      <c r="F86" s="554"/>
      <c r="G86" s="554"/>
      <c r="H86" s="554"/>
      <c r="I86" s="554"/>
      <c r="J86" s="554"/>
      <c r="K86" s="554"/>
      <c r="L86" s="580"/>
      <c r="M86" s="581"/>
      <c r="N86" s="1151"/>
      <c r="O86" s="1151"/>
      <c r="P86" s="2626"/>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26"/>
      <c r="Q87" s="504"/>
    </row>
    <row r="88" spans="1:17" s="117" customFormat="1" ht="15.75" thickTop="1">
      <c r="A88" s="579"/>
      <c r="B88" s="538" t="str">
        <f>B26</f>
        <v>平面位置/可视性</v>
      </c>
      <c r="C88" s="554"/>
      <c r="D88" s="554"/>
      <c r="E88" s="554"/>
      <c r="F88" s="2631"/>
      <c r="G88" s="554"/>
      <c r="H88" s="554"/>
      <c r="I88" s="554"/>
      <c r="J88" s="554"/>
      <c r="K88" s="554"/>
      <c r="L88" s="554"/>
      <c r="M88" s="581"/>
      <c r="N88" s="1151"/>
      <c r="O88" s="1151"/>
      <c r="P88" s="2626"/>
      <c r="Q88" s="504"/>
    </row>
    <row r="89" spans="1:17" s="117" customFormat="1" ht="15.75" thickBot="1">
      <c r="A89" s="579"/>
      <c r="B89" s="543"/>
      <c r="C89" s="560"/>
      <c r="D89" s="536"/>
      <c r="E89" s="536"/>
      <c r="F89" s="536"/>
      <c r="G89" s="536"/>
      <c r="H89" s="536"/>
      <c r="I89" s="536"/>
      <c r="J89" s="536"/>
      <c r="K89" s="536"/>
      <c r="L89" s="536"/>
      <c r="M89" s="536"/>
      <c r="N89" s="1153"/>
      <c r="O89" s="1153"/>
      <c r="P89" s="2626"/>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27"/>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27"/>
      <c r="Q91" s="559"/>
    </row>
    <row r="92" spans="1:17" ht="15.75" thickTop="1">
      <c r="A92" s="534"/>
      <c r="B92" s="538" t="str">
        <f>B28</f>
        <v>楼层</v>
      </c>
      <c r="C92" s="554"/>
      <c r="D92" s="554"/>
      <c r="E92" s="554"/>
      <c r="F92" s="554"/>
      <c r="G92" s="554"/>
      <c r="H92" s="554"/>
      <c r="I92" s="554"/>
      <c r="J92" s="554"/>
      <c r="K92" s="554"/>
      <c r="L92" s="580"/>
      <c r="M92" s="581"/>
      <c r="N92" s="1152"/>
      <c r="O92" s="1152"/>
      <c r="P92" s="2626"/>
      <c r="Q92" s="504"/>
    </row>
    <row r="93" spans="1:17" ht="15.75" thickBot="1">
      <c r="A93" s="534"/>
      <c r="B93" s="543"/>
      <c r="C93" s="536"/>
      <c r="D93" s="536"/>
      <c r="E93" s="536"/>
      <c r="F93" s="536"/>
      <c r="G93" s="536"/>
      <c r="H93" s="536"/>
      <c r="I93" s="536"/>
      <c r="J93" s="536"/>
      <c r="K93" s="536"/>
      <c r="L93" s="536"/>
      <c r="M93" s="537"/>
      <c r="N93" s="1153"/>
      <c r="O93" s="1153"/>
      <c r="P93" s="2626"/>
      <c r="Q93" s="504"/>
    </row>
    <row r="94" spans="1:17" ht="15.75" thickTop="1">
      <c r="A94" s="534"/>
      <c r="B94" s="538">
        <f>B29</f>
        <v>111</v>
      </c>
      <c r="C94" s="554"/>
      <c r="D94" s="554"/>
      <c r="E94" s="554"/>
      <c r="F94" s="554"/>
      <c r="G94" s="583"/>
      <c r="H94" s="583"/>
      <c r="I94" s="583"/>
      <c r="J94" s="583"/>
      <c r="K94" s="584"/>
      <c r="L94" s="585"/>
      <c r="M94" s="586"/>
      <c r="N94" s="1152"/>
      <c r="O94" s="1152"/>
      <c r="P94" s="2626"/>
      <c r="Q94" s="504"/>
    </row>
    <row r="95" spans="1:17" ht="15.75" thickBot="1">
      <c r="A95" s="534"/>
      <c r="B95" s="543"/>
      <c r="C95" s="560"/>
      <c r="D95" s="536"/>
      <c r="E95" s="536"/>
      <c r="F95" s="536"/>
      <c r="G95" s="536"/>
      <c r="H95" s="536"/>
      <c r="I95" s="536"/>
      <c r="J95" s="536"/>
      <c r="K95" s="536"/>
      <c r="L95" s="536"/>
      <c r="M95" s="537"/>
      <c r="N95" s="1153"/>
      <c r="O95" s="1153"/>
      <c r="P95" s="2626"/>
      <c r="Q95" s="504"/>
    </row>
    <row r="96" spans="1:17" ht="15.75" thickTop="1">
      <c r="A96" s="534"/>
      <c r="B96" s="538">
        <f>B30</f>
        <v>111</v>
      </c>
      <c r="C96" s="554"/>
      <c r="D96" s="554"/>
      <c r="E96" s="554"/>
      <c r="F96" s="554"/>
      <c r="G96" s="583"/>
      <c r="H96" s="583"/>
      <c r="I96" s="583"/>
      <c r="J96" s="583"/>
      <c r="K96" s="584"/>
      <c r="L96" s="585"/>
      <c r="M96" s="586"/>
      <c r="N96" s="1152"/>
      <c r="O96" s="1152"/>
      <c r="P96" s="2626"/>
      <c r="Q96" s="504"/>
    </row>
    <row r="97" spans="1:17" ht="15.75" thickBot="1">
      <c r="A97" s="534"/>
      <c r="B97" s="543"/>
      <c r="C97" s="560"/>
      <c r="D97" s="536"/>
      <c r="E97" s="536"/>
      <c r="F97" s="536"/>
      <c r="G97" s="536"/>
      <c r="H97" s="536"/>
      <c r="I97" s="536"/>
      <c r="J97" s="536"/>
      <c r="K97" s="536"/>
      <c r="L97" s="536"/>
      <c r="M97" s="537"/>
      <c r="N97" s="1153"/>
      <c r="O97" s="1153"/>
      <c r="P97" s="2626"/>
      <c r="Q97" s="504"/>
    </row>
    <row r="98" spans="1:17" ht="15.75" thickTop="1">
      <c r="A98" s="534"/>
      <c r="B98" s="546">
        <f>B31</f>
        <v>111</v>
      </c>
      <c r="C98" s="554"/>
      <c r="D98" s="554"/>
      <c r="E98" s="554"/>
      <c r="F98" s="554"/>
      <c r="G98" s="587"/>
      <c r="H98" s="587"/>
      <c r="I98" s="587"/>
      <c r="J98" s="587"/>
      <c r="K98" s="588"/>
      <c r="L98" s="589"/>
      <c r="M98" s="590"/>
      <c r="N98" s="1152"/>
      <c r="O98" s="1152"/>
      <c r="P98" s="2626"/>
      <c r="Q98" s="504"/>
    </row>
    <row r="99" spans="1:17" ht="15.75" thickBot="1">
      <c r="A99" s="2632"/>
      <c r="B99" s="569"/>
      <c r="C99" s="570"/>
      <c r="D99" s="570"/>
      <c r="E99" s="570"/>
      <c r="F99" s="570"/>
      <c r="G99" s="591"/>
      <c r="H99" s="591"/>
      <c r="I99" s="591"/>
      <c r="J99" s="591"/>
      <c r="K99" s="591"/>
      <c r="L99" s="591"/>
      <c r="M99" s="592"/>
      <c r="N99" s="1153"/>
      <c r="O99" s="1153"/>
      <c r="P99" s="2626"/>
      <c r="Q99" s="504"/>
    </row>
    <row r="100" spans="1:17">
      <c r="A100" s="527" t="s">
        <v>2558</v>
      </c>
      <c r="B100" s="528" t="s">
        <v>2676</v>
      </c>
      <c r="C100" s="530"/>
      <c r="D100" s="530"/>
      <c r="E100" s="530"/>
      <c r="F100" s="530"/>
      <c r="G100" s="530"/>
      <c r="H100" s="530"/>
      <c r="I100" s="530"/>
      <c r="J100" s="530"/>
      <c r="K100" s="531"/>
      <c r="L100" s="532"/>
      <c r="M100" s="533"/>
      <c r="N100" s="1152"/>
      <c r="O100" s="1152"/>
      <c r="P100" s="2626"/>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26"/>
      <c r="Q101" s="504"/>
    </row>
    <row r="102" spans="1:17" ht="15.75" thickTop="1">
      <c r="A102" s="534"/>
      <c r="B102" s="538" t="s">
        <v>2608</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26"/>
      <c r="Q102" s="504"/>
    </row>
    <row r="103" spans="1:17" s="471" customFormat="1">
      <c r="A103" s="593"/>
      <c r="B103" s="594"/>
      <c r="C103" s="595"/>
      <c r="D103" s="595"/>
      <c r="E103" s="595"/>
      <c r="F103" s="595"/>
      <c r="G103" s="595"/>
      <c r="H103" s="595"/>
      <c r="I103" s="595"/>
      <c r="J103" s="596"/>
      <c r="K103" s="596"/>
      <c r="L103" s="597"/>
      <c r="M103" s="598"/>
      <c r="N103" s="1154"/>
      <c r="O103" s="1154"/>
      <c r="P103" s="2627"/>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27"/>
      <c r="Q104" s="559"/>
    </row>
    <row r="105" spans="1:17" ht="15" thickTop="1">
      <c r="A105" s="599"/>
      <c r="B105" s="538" t="s">
        <v>2609</v>
      </c>
      <c r="C105" s="554"/>
      <c r="D105" s="554"/>
      <c r="E105" s="583"/>
      <c r="F105" s="583"/>
      <c r="G105" s="583"/>
      <c r="H105" s="583"/>
      <c r="I105" s="583"/>
      <c r="J105" s="583"/>
      <c r="K105" s="584"/>
      <c r="L105" s="585"/>
      <c r="M105" s="586"/>
      <c r="N105" s="1152"/>
      <c r="O105" s="1152"/>
      <c r="P105" s="2626"/>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26"/>
      <c r="Q106" s="504"/>
    </row>
    <row r="107" spans="1:17" ht="15" thickTop="1">
      <c r="A107" s="599"/>
      <c r="B107" s="538" t="s">
        <v>2611</v>
      </c>
      <c r="C107" s="554"/>
      <c r="D107" s="554"/>
      <c r="E107" s="554"/>
      <c r="F107" s="583"/>
      <c r="G107" s="583"/>
      <c r="H107" s="583"/>
      <c r="I107" s="583"/>
      <c r="J107" s="583"/>
      <c r="K107" s="584"/>
      <c r="L107" s="585"/>
      <c r="M107" s="586"/>
      <c r="N107" s="1152"/>
      <c r="O107" s="1152"/>
      <c r="P107" s="2626"/>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26"/>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6"/>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6"/>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26"/>
      <c r="Q111" s="504"/>
    </row>
    <row r="112" spans="1:17" s="471" customFormat="1" ht="15" thickTop="1">
      <c r="A112" s="593"/>
      <c r="B112" s="538" t="s">
        <v>2613</v>
      </c>
      <c r="C112" s="554"/>
      <c r="D112" s="554"/>
      <c r="E112" s="554"/>
      <c r="F112" s="554"/>
      <c r="G112" s="554"/>
      <c r="H112" s="583"/>
      <c r="I112" s="583"/>
      <c r="J112" s="583"/>
      <c r="K112" s="584"/>
      <c r="L112" s="585"/>
      <c r="M112" s="586"/>
      <c r="N112" s="1154"/>
      <c r="O112" s="1154"/>
      <c r="P112" s="2627"/>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27"/>
      <c r="Q113" s="559"/>
    </row>
    <row r="114" spans="1:17" ht="15" thickTop="1">
      <c r="A114" s="599"/>
      <c r="B114" s="538" t="s">
        <v>2677</v>
      </c>
      <c r="C114" s="554"/>
      <c r="D114" s="554"/>
      <c r="E114" s="583"/>
      <c r="F114" s="583"/>
      <c r="G114" s="583"/>
      <c r="H114" s="583"/>
      <c r="I114" s="583"/>
      <c r="J114" s="583"/>
      <c r="K114" s="584"/>
      <c r="L114" s="585"/>
      <c r="M114" s="586"/>
      <c r="N114" s="1152"/>
      <c r="O114" s="1152"/>
      <c r="P114" s="2626"/>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26"/>
      <c r="Q115" s="504"/>
    </row>
    <row r="116" spans="1:17" ht="15" thickTop="1">
      <c r="A116" s="599"/>
      <c r="B116" s="538" t="s">
        <v>2678</v>
      </c>
      <c r="C116" s="554"/>
      <c r="D116" s="554"/>
      <c r="E116" s="554"/>
      <c r="F116" s="554"/>
      <c r="G116" s="554"/>
      <c r="H116" s="583"/>
      <c r="I116" s="583"/>
      <c r="J116" s="583"/>
      <c r="K116" s="584"/>
      <c r="L116" s="585"/>
      <c r="M116" s="586"/>
      <c r="N116" s="1152"/>
      <c r="O116" s="1152"/>
      <c r="P116" s="262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6"/>
      <c r="Q117" s="504"/>
    </row>
    <row r="118" spans="1:17" ht="15" thickTop="1">
      <c r="A118" s="599"/>
      <c r="B118" s="538" t="s">
        <v>2679</v>
      </c>
      <c r="C118" s="627"/>
      <c r="D118" s="627"/>
      <c r="E118" s="627"/>
      <c r="F118" s="627"/>
      <c r="G118" s="627"/>
      <c r="H118" s="555"/>
      <c r="I118" s="555"/>
      <c r="J118" s="555"/>
      <c r="K118" s="555"/>
      <c r="L118" s="556"/>
      <c r="M118" s="557"/>
      <c r="N118" s="1152"/>
      <c r="O118" s="1152"/>
      <c r="P118" s="2626"/>
      <c r="Q118" s="504"/>
    </row>
    <row r="119" spans="1:17" ht="15.75" thickBot="1">
      <c r="A119" s="534"/>
      <c r="B119" s="543"/>
      <c r="C119" s="560"/>
      <c r="D119" s="536"/>
      <c r="E119" s="536"/>
      <c r="F119" s="536"/>
      <c r="G119" s="536"/>
      <c r="H119" s="536"/>
      <c r="I119" s="536"/>
      <c r="J119" s="536"/>
      <c r="K119" s="536"/>
      <c r="L119" s="536"/>
      <c r="M119" s="537"/>
      <c r="N119" s="1153"/>
      <c r="O119" s="1153"/>
      <c r="P119" s="2626"/>
      <c r="Q119" s="504"/>
    </row>
    <row r="120" spans="1:17" s="471" customFormat="1" ht="15" thickTop="1">
      <c r="A120" s="593"/>
      <c r="B120" s="538" t="s">
        <v>2680</v>
      </c>
      <c r="C120" s="583"/>
      <c r="D120" s="583"/>
      <c r="E120" s="583"/>
      <c r="F120" s="583"/>
      <c r="G120" s="555"/>
      <c r="H120" s="555"/>
      <c r="I120" s="555"/>
      <c r="J120" s="555"/>
      <c r="K120" s="555"/>
      <c r="L120" s="556"/>
      <c r="M120" s="557"/>
      <c r="N120" s="1154"/>
      <c r="O120" s="1154"/>
      <c r="P120" s="2627"/>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27"/>
      <c r="Q121" s="559"/>
    </row>
    <row r="122" spans="1:17" ht="15" thickTop="1">
      <c r="A122" s="599"/>
      <c r="B122" s="538" t="s">
        <v>2615</v>
      </c>
      <c r="C122" s="554"/>
      <c r="D122" s="554"/>
      <c r="E122" s="554"/>
      <c r="F122" s="583"/>
      <c r="G122" s="583"/>
      <c r="H122" s="583"/>
      <c r="I122" s="583"/>
      <c r="J122" s="583"/>
      <c r="K122" s="584"/>
      <c r="L122" s="585"/>
      <c r="M122" s="586"/>
      <c r="N122" s="1152"/>
      <c r="O122" s="1152"/>
      <c r="P122" s="2626"/>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26"/>
      <c r="Q123" s="504"/>
    </row>
    <row r="124" spans="1:17" ht="15" thickTop="1">
      <c r="A124" s="599"/>
      <c r="B124" s="538" t="s">
        <v>2616</v>
      </c>
      <c r="C124" s="578" t="s">
        <v>2592</v>
      </c>
      <c r="D124" s="578" t="s">
        <v>2593</v>
      </c>
      <c r="E124" s="578" t="s">
        <v>2594</v>
      </c>
      <c r="F124" s="578" t="s">
        <v>2595</v>
      </c>
      <c r="G124" s="578" t="s">
        <v>2596</v>
      </c>
      <c r="H124" s="539"/>
      <c r="I124" s="539"/>
      <c r="J124" s="539"/>
      <c r="K124" s="540"/>
      <c r="L124" s="541"/>
      <c r="M124" s="542"/>
      <c r="N124" s="1152"/>
      <c r="O124" s="1152"/>
      <c r="P124" s="262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6"/>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7"/>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7"/>
      <c r="Q127" s="559"/>
    </row>
    <row r="128" spans="1:17" ht="15" thickTop="1">
      <c r="A128" s="599"/>
      <c r="B128" s="538">
        <f>B45</f>
        <v>111</v>
      </c>
      <c r="C128" s="554"/>
      <c r="D128" s="554"/>
      <c r="E128" s="554"/>
      <c r="F128" s="554"/>
      <c r="G128" s="583"/>
      <c r="H128" s="583"/>
      <c r="I128" s="583"/>
      <c r="J128" s="583"/>
      <c r="K128" s="584"/>
      <c r="L128" s="585"/>
      <c r="M128" s="586"/>
      <c r="N128" s="1152"/>
      <c r="O128" s="1152"/>
      <c r="P128" s="2626"/>
      <c r="Q128" s="504"/>
    </row>
    <row r="129" spans="1:17" ht="15.75" thickBot="1">
      <c r="A129" s="534"/>
      <c r="B129" s="543"/>
      <c r="C129" s="560"/>
      <c r="D129" s="536"/>
      <c r="E129" s="536"/>
      <c r="F129" s="536"/>
      <c r="G129" s="536"/>
      <c r="H129" s="536"/>
      <c r="I129" s="536"/>
      <c r="J129" s="536"/>
      <c r="K129" s="536"/>
      <c r="L129" s="536"/>
      <c r="M129" s="537"/>
      <c r="N129" s="1153"/>
      <c r="O129" s="1153"/>
      <c r="P129" s="2626"/>
      <c r="Q129" s="504"/>
    </row>
    <row r="130" spans="1:17" ht="15" thickTop="1">
      <c r="A130" s="599"/>
      <c r="B130" s="546">
        <f>B46</f>
        <v>111</v>
      </c>
      <c r="C130" s="554"/>
      <c r="D130" s="554"/>
      <c r="E130" s="554"/>
      <c r="F130" s="554"/>
      <c r="G130" s="587"/>
      <c r="H130" s="587"/>
      <c r="I130" s="587"/>
      <c r="J130" s="587"/>
      <c r="K130" s="523"/>
      <c r="L130" s="524"/>
      <c r="M130" s="590"/>
      <c r="N130" s="1152"/>
      <c r="O130" s="1152"/>
      <c r="P130" s="2626"/>
      <c r="Q130" s="504"/>
    </row>
    <row r="131" spans="1:17" ht="15.75" thickBot="1">
      <c r="A131" s="2632"/>
      <c r="B131" s="569"/>
      <c r="C131" s="570"/>
      <c r="D131" s="570"/>
      <c r="E131" s="570"/>
      <c r="F131" s="570"/>
      <c r="G131" s="591"/>
      <c r="H131" s="591"/>
      <c r="I131" s="591"/>
      <c r="J131" s="591"/>
      <c r="K131" s="591"/>
      <c r="L131" s="591"/>
      <c r="M131" s="592"/>
      <c r="N131" s="1153"/>
      <c r="O131" s="1153"/>
      <c r="P131" s="2626"/>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4" priority="17" stopIfTrue="1" operator="containsText" text="超过">
      <formula>NOT(ISERROR(SEARCH("超过",F52)))</formula>
    </cfRule>
  </conditionalFormatting>
  <conditionalFormatting sqref="H54">
    <cfRule type="containsText" dxfId="103" priority="15" stopIfTrue="1" operator="containsText" text="超过">
      <formula>NOT(ISERROR(SEARCH("超过",H54)))</formula>
    </cfRule>
  </conditionalFormatting>
  <conditionalFormatting sqref="F54">
    <cfRule type="containsText" dxfId="102" priority="14" stopIfTrue="1" operator="containsText" text="超过">
      <formula>NOT(ISERROR(SEARCH("超过",F54)))</formula>
    </cfRule>
  </conditionalFormatting>
  <conditionalFormatting sqref="F53 H53">
    <cfRule type="containsText" dxfId="101" priority="13" stopIfTrue="1" operator="containsText" text="超过">
      <formula>NOT(ISERROR(SEARCH("超过",F53)))</formula>
    </cfRule>
  </conditionalFormatting>
  <conditionalFormatting sqref="E52">
    <cfRule type="expression" dxfId="100" priority="12" stopIfTrue="1">
      <formula>$F$52="超过30%"</formula>
    </cfRule>
  </conditionalFormatting>
  <conditionalFormatting sqref="E53">
    <cfRule type="expression" dxfId="99" priority="11" stopIfTrue="1">
      <formula>$F$53="超过20%"</formula>
    </cfRule>
  </conditionalFormatting>
  <conditionalFormatting sqref="E54">
    <cfRule type="expression" dxfId="98" priority="10" stopIfTrue="1">
      <formula>$F$54="超过30%"</formula>
    </cfRule>
  </conditionalFormatting>
  <conditionalFormatting sqref="G54">
    <cfRule type="expression" dxfId="97" priority="9" stopIfTrue="1">
      <formula>$H$54="超过30%"</formula>
    </cfRule>
  </conditionalFormatting>
  <conditionalFormatting sqref="G52">
    <cfRule type="expression" dxfId="96" priority="8" stopIfTrue="1">
      <formula>$H$52="超过30%"</formula>
    </cfRule>
  </conditionalFormatting>
  <conditionalFormatting sqref="G53">
    <cfRule type="expression" dxfId="95" priority="7" stopIfTrue="1">
      <formula>$H$53="超过20%"</formula>
    </cfRule>
  </conditionalFormatting>
  <conditionalFormatting sqref="J52">
    <cfRule type="containsText" dxfId="94" priority="6" stopIfTrue="1" operator="containsText" text="超过">
      <formula>NOT(ISERROR(SEARCH("超过",J52)))</formula>
    </cfRule>
  </conditionalFormatting>
  <conditionalFormatting sqref="J54">
    <cfRule type="containsText" dxfId="93" priority="5" stopIfTrue="1" operator="containsText" text="超过">
      <formula>NOT(ISERROR(SEARCH("超过",J54)))</formula>
    </cfRule>
  </conditionalFormatting>
  <conditionalFormatting sqref="J53">
    <cfRule type="containsText" dxfId="92" priority="4" stopIfTrue="1" operator="containsText" text="超过">
      <formula>NOT(ISERROR(SEARCH("超过",J53)))</formula>
    </cfRule>
  </conditionalFormatting>
  <conditionalFormatting sqref="I52">
    <cfRule type="expression" dxfId="91" priority="3" stopIfTrue="1">
      <formula>$J$52="超过30%"</formula>
    </cfRule>
  </conditionalFormatting>
  <conditionalFormatting sqref="I53">
    <cfRule type="expression" dxfId="90" priority="2" stopIfTrue="1">
      <formula>$J$53="超过20%"</formula>
    </cfRule>
  </conditionalFormatting>
  <conditionalFormatting sqref="I54">
    <cfRule type="expression" dxfId="8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2523</v>
      </c>
      <c r="B1" s="2665" t="s">
        <v>2681</v>
      </c>
      <c r="C1" s="1620" t="s">
        <v>2525</v>
      </c>
      <c r="D1" s="1621"/>
      <c r="E1" s="1630"/>
      <c r="F1" s="2582"/>
      <c r="G1" s="1631" t="s">
        <v>2638</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2325</v>
      </c>
      <c r="B2" s="1418" t="e">
        <f ca="1">IF(C2="——",ROUND(C50*D3/10000,0),ROUND(C50*D3/10000,0)-D2)</f>
        <v>#DIV/0!</v>
      </c>
      <c r="C2" s="2584"/>
      <c r="D2" s="1365" t="e">
        <f ca="1">SUMIF(INDIRECT("'"&amp;F2&amp;"'"&amp;"!A:A"),"承租人权益价值",INDIRECT("'"&amp;F2&amp;"'"&amp;"!c:c"))</f>
        <v>#REF!</v>
      </c>
      <c r="E2" s="2585" t="s">
        <v>2326</v>
      </c>
      <c r="F2" s="2586"/>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2327</v>
      </c>
      <c r="B3" s="609" t="e">
        <f ca="1">IF(C2="——",C50,ROUND(B2*10000/D3,0))</f>
        <v>#DIV/0!</v>
      </c>
      <c r="C3" s="400" t="s">
        <v>2639</v>
      </c>
      <c r="D3" s="399">
        <f>IF(D1="",'数据-汇总表'!E3,SUMIF('数据-汇总表'!$C19:$C33,D1,'数据-汇总表'!$E19:$E33))</f>
        <v>117348.15999999993</v>
      </c>
      <c r="E3" s="2659"/>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2640</v>
      </c>
      <c r="B4" s="402"/>
      <c r="C4" s="3317" t="s">
        <v>2641</v>
      </c>
      <c r="D4" s="3330"/>
      <c r="E4" s="3331" t="s">
        <v>2642</v>
      </c>
      <c r="F4" s="3332"/>
      <c r="G4" s="3317" t="s">
        <v>2643</v>
      </c>
      <c r="H4" s="3330"/>
      <c r="I4" s="3317" t="s">
        <v>2644</v>
      </c>
      <c r="J4" s="3330"/>
      <c r="K4" s="610" t="s">
        <v>2645</v>
      </c>
      <c r="L4" s="1130"/>
      <c r="M4" s="1131"/>
      <c r="N4" s="1131"/>
      <c r="O4" s="1131"/>
      <c r="P4" s="3433" t="s">
        <v>2646</v>
      </c>
      <c r="Q4" s="3434"/>
      <c r="R4" s="3437" t="s">
        <v>2642</v>
      </c>
      <c r="S4" s="3438"/>
      <c r="T4" s="3437" t="s">
        <v>2643</v>
      </c>
      <c r="U4" s="3438"/>
      <c r="V4" s="3439" t="s">
        <v>2644</v>
      </c>
      <c r="W4" s="3439"/>
      <c r="X4" s="2666"/>
      <c r="Y4" s="3437" t="s">
        <v>2646</v>
      </c>
      <c r="Z4" s="3438"/>
      <c r="AA4" s="3441" t="s">
        <v>2642</v>
      </c>
      <c r="AB4" s="3441" t="s">
        <v>2643</v>
      </c>
      <c r="AC4" s="3430" t="s">
        <v>2644</v>
      </c>
    </row>
    <row r="5" spans="1:29" ht="15">
      <c r="A5" s="404"/>
      <c r="B5" s="405"/>
      <c r="C5" s="3424" t="s">
        <v>2537</v>
      </c>
      <c r="D5" s="3348"/>
      <c r="E5" s="3426" t="s">
        <v>2538</v>
      </c>
      <c r="F5" s="3355"/>
      <c r="G5" s="3424" t="s">
        <v>2539</v>
      </c>
      <c r="H5" s="3348"/>
      <c r="I5" s="3424" t="s">
        <v>2540</v>
      </c>
      <c r="J5" s="3348"/>
      <c r="K5" s="610"/>
      <c r="L5" s="1130"/>
      <c r="M5" s="1131"/>
      <c r="N5" s="1131"/>
      <c r="O5" s="1131"/>
      <c r="P5" s="3435"/>
      <c r="Q5" s="3336"/>
      <c r="R5" s="3341"/>
      <c r="S5" s="3342"/>
      <c r="T5" s="3341"/>
      <c r="U5" s="3342"/>
      <c r="V5" s="3326"/>
      <c r="W5" s="3326"/>
      <c r="X5" s="1813"/>
      <c r="Y5" s="3341"/>
      <c r="Z5" s="3342"/>
      <c r="AA5" s="3328"/>
      <c r="AB5" s="3328"/>
      <c r="AC5" s="3431"/>
    </row>
    <row r="6" spans="1:29" ht="15.75" thickBot="1">
      <c r="A6" s="406"/>
      <c r="B6" s="407"/>
      <c r="C6" s="3423" t="s">
        <v>2541</v>
      </c>
      <c r="D6" s="3346"/>
      <c r="E6" s="3425" t="s">
        <v>2541</v>
      </c>
      <c r="F6" s="3353"/>
      <c r="G6" s="3423" t="s">
        <v>2541</v>
      </c>
      <c r="H6" s="3346"/>
      <c r="I6" s="3423" t="s">
        <v>2541</v>
      </c>
      <c r="J6" s="3346"/>
      <c r="K6" s="610" t="s">
        <v>2542</v>
      </c>
      <c r="L6" s="1130"/>
      <c r="M6" s="1131"/>
      <c r="N6" s="1131"/>
      <c r="O6" s="1131"/>
      <c r="P6" s="3436"/>
      <c r="Q6" s="3338"/>
      <c r="R6" s="3341"/>
      <c r="S6" s="3342"/>
      <c r="T6" s="3343"/>
      <c r="U6" s="3344"/>
      <c r="V6" s="3326"/>
      <c r="W6" s="3326"/>
      <c r="X6" s="1813"/>
      <c r="Y6" s="3343"/>
      <c r="Z6" s="3344"/>
      <c r="AA6" s="3329"/>
      <c r="AB6" s="3329"/>
      <c r="AC6" s="3432"/>
    </row>
    <row r="7" spans="1:29" s="117" customFormat="1" ht="15.75" thickBot="1">
      <c r="A7" s="408" t="s">
        <v>2543</v>
      </c>
      <c r="B7" s="409"/>
      <c r="C7" s="410">
        <f>'数据-取费表'!B2</f>
        <v>43111</v>
      </c>
      <c r="D7" s="411">
        <v>100</v>
      </c>
      <c r="E7" s="412"/>
      <c r="F7" s="413">
        <f>SUMIF(59:59,YEAR(E7)&amp;"-"&amp;MONTH(E7),60:60)</f>
        <v>0</v>
      </c>
      <c r="G7" s="412"/>
      <c r="H7" s="411">
        <f>SUMIF(59:59,YEAR(G7)&amp;"-"&amp;MONTH(G7),60:60)</f>
        <v>0</v>
      </c>
      <c r="I7" s="412"/>
      <c r="J7" s="411">
        <f>SUMIF(59:59,YEAR(I7)&amp;"-"&amp;MONTH(I7),60:60)</f>
        <v>0</v>
      </c>
      <c r="K7" s="611"/>
      <c r="L7" s="1132"/>
      <c r="M7" s="1133"/>
      <c r="N7" s="1133"/>
      <c r="O7" s="1133"/>
      <c r="P7" s="3440" t="s">
        <v>2544</v>
      </c>
      <c r="Q7" s="3351"/>
      <c r="R7" s="770" t="s">
        <v>17</v>
      </c>
      <c r="S7" s="771">
        <f t="shared" ref="S7:S15" si="0">F7</f>
        <v>0</v>
      </c>
      <c r="T7" s="770" t="s">
        <v>17</v>
      </c>
      <c r="U7" s="771">
        <f t="shared" ref="U7:U15" si="1">H7</f>
        <v>0</v>
      </c>
      <c r="V7" s="770" t="s">
        <v>17</v>
      </c>
      <c r="W7" s="771">
        <f t="shared" ref="W7:W15" si="2">J7</f>
        <v>0</v>
      </c>
      <c r="X7" s="772"/>
      <c r="Y7" s="3349" t="s">
        <v>2544</v>
      </c>
      <c r="Z7" s="3350"/>
      <c r="AA7" s="773" t="e">
        <f>D7/F7</f>
        <v>#DIV/0!</v>
      </c>
      <c r="AB7" s="773" t="e">
        <f>D7/H7</f>
        <v>#DIV/0!</v>
      </c>
      <c r="AC7" s="2667" t="e">
        <f>D7/J7</f>
        <v>#DIV/0!</v>
      </c>
    </row>
    <row r="8" spans="1:29" s="117" customFormat="1" ht="15.75" thickBot="1">
      <c r="A8" s="408" t="s">
        <v>2545</v>
      </c>
      <c r="B8" s="409"/>
      <c r="C8" s="414" t="s">
        <v>2647</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440" t="s">
        <v>2547</v>
      </c>
      <c r="Q8" s="3350"/>
      <c r="R8" s="770" t="s">
        <v>17</v>
      </c>
      <c r="S8" s="771">
        <f t="shared" si="0"/>
        <v>0</v>
      </c>
      <c r="T8" s="770" t="s">
        <v>17</v>
      </c>
      <c r="U8" s="771">
        <f t="shared" si="1"/>
        <v>0</v>
      </c>
      <c r="V8" s="770" t="s">
        <v>17</v>
      </c>
      <c r="W8" s="771">
        <f t="shared" si="2"/>
        <v>0</v>
      </c>
      <c r="X8" s="772"/>
      <c r="Y8" s="3349" t="s">
        <v>2547</v>
      </c>
      <c r="Z8" s="3350"/>
      <c r="AA8" s="773" t="e">
        <f t="shared" ref="AA8:AA47" si="3">D8/F8</f>
        <v>#DIV/0!</v>
      </c>
      <c r="AB8" s="773" t="e">
        <f t="shared" ref="AB8:AB47" si="4">D8/H8</f>
        <v>#DIV/0!</v>
      </c>
      <c r="AC8" s="2667" t="e">
        <f t="shared" ref="AC8:AC47" si="5">D8/J8</f>
        <v>#DIV/0!</v>
      </c>
    </row>
    <row r="9" spans="1:29" s="117" customFormat="1">
      <c r="A9" s="415" t="s">
        <v>2548</v>
      </c>
      <c r="B9" s="71" t="s">
        <v>2549</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319" t="s">
        <v>2550</v>
      </c>
      <c r="Q9" s="1795" t="str">
        <f t="shared" ref="Q9:Q15" si="6">B9</f>
        <v>用途</v>
      </c>
      <c r="R9" s="770" t="s">
        <v>17</v>
      </c>
      <c r="S9" s="771">
        <f t="shared" si="0"/>
        <v>100</v>
      </c>
      <c r="T9" s="770" t="s">
        <v>17</v>
      </c>
      <c r="U9" s="771">
        <f t="shared" si="1"/>
        <v>100</v>
      </c>
      <c r="V9" s="770" t="s">
        <v>17</v>
      </c>
      <c r="W9" s="771">
        <f t="shared" si="2"/>
        <v>100</v>
      </c>
      <c r="X9" s="772"/>
      <c r="Y9" s="3151" t="s">
        <v>2551</v>
      </c>
      <c r="Z9" s="55" t="str">
        <f t="shared" ref="Z9:Z15" si="7">Q9</f>
        <v>用途</v>
      </c>
      <c r="AA9" s="773">
        <f t="shared" si="3"/>
        <v>1</v>
      </c>
      <c r="AB9" s="773">
        <f t="shared" si="4"/>
        <v>1</v>
      </c>
      <c r="AC9" s="2667">
        <f t="shared" si="5"/>
        <v>1</v>
      </c>
    </row>
    <row r="10" spans="1:29" s="427" customFormat="1" ht="27">
      <c r="A10" s="421"/>
      <c r="B10" s="422" t="s">
        <v>2552</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319"/>
      <c r="Q10" s="1795" t="str">
        <f t="shared" si="6"/>
        <v>土地使用年限（年）</v>
      </c>
      <c r="R10" s="770" t="s">
        <v>17</v>
      </c>
      <c r="S10" s="771">
        <f t="shared" si="0"/>
        <v>100</v>
      </c>
      <c r="T10" s="770" t="s">
        <v>17</v>
      </c>
      <c r="U10" s="771">
        <f t="shared" si="1"/>
        <v>100</v>
      </c>
      <c r="V10" s="770" t="s">
        <v>17</v>
      </c>
      <c r="W10" s="771">
        <f t="shared" si="2"/>
        <v>100</v>
      </c>
      <c r="X10" s="772"/>
      <c r="Y10" s="3151"/>
      <c r="Z10" s="55" t="str">
        <f t="shared" si="7"/>
        <v>土地使用年限（年）</v>
      </c>
      <c r="AA10" s="773">
        <f t="shared" si="3"/>
        <v>1</v>
      </c>
      <c r="AB10" s="773">
        <f t="shared" si="4"/>
        <v>1</v>
      </c>
      <c r="AC10" s="2667">
        <f t="shared" si="5"/>
        <v>1</v>
      </c>
    </row>
    <row r="11" spans="1:29" ht="15">
      <c r="A11" s="428"/>
      <c r="B11" s="422" t="s">
        <v>2553</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319"/>
      <c r="Q11" s="1795" t="str">
        <f t="shared" si="6"/>
        <v>容积率</v>
      </c>
      <c r="R11" s="770" t="s">
        <v>17</v>
      </c>
      <c r="S11" s="771" t="e">
        <f t="shared" si="0"/>
        <v>#N/A</v>
      </c>
      <c r="T11" s="770" t="s">
        <v>17</v>
      </c>
      <c r="U11" s="771" t="e">
        <f t="shared" si="1"/>
        <v>#N/A</v>
      </c>
      <c r="V11" s="770" t="s">
        <v>17</v>
      </c>
      <c r="W11" s="771" t="e">
        <f t="shared" si="2"/>
        <v>#N/A</v>
      </c>
      <c r="X11" s="772"/>
      <c r="Y11" s="3151"/>
      <c r="Z11" s="55" t="str">
        <f t="shared" si="7"/>
        <v>容积率</v>
      </c>
      <c r="AA11" s="773" t="e">
        <f t="shared" si="3"/>
        <v>#N/A</v>
      </c>
      <c r="AB11" s="773" t="e">
        <f t="shared" si="4"/>
        <v>#N/A</v>
      </c>
      <c r="AC11" s="2667" t="e">
        <f t="shared" si="5"/>
        <v>#N/A</v>
      </c>
    </row>
    <row r="12" spans="1:29" s="117" customFormat="1" ht="15">
      <c r="A12" s="431"/>
      <c r="B12" s="2597">
        <v>111</v>
      </c>
      <c r="C12" s="432"/>
      <c r="D12" s="433">
        <v>100</v>
      </c>
      <c r="E12" s="432"/>
      <c r="F12" s="136">
        <f>SUMIF(71:71,E12,72:72)-SUMIF(71:71,C12,72:72)+100</f>
        <v>100</v>
      </c>
      <c r="G12" s="2668"/>
      <c r="H12" s="136">
        <f>SUMIF(71:71,G12,72:72)-SUMIF(71:71,C12,72:72)+100</f>
        <v>100</v>
      </c>
      <c r="I12" s="432"/>
      <c r="J12" s="136">
        <f>SUMIF(71:71,I12,72:72)-SUMIF(71:71,C12,72:72)+100</f>
        <v>100</v>
      </c>
      <c r="K12" s="613"/>
      <c r="L12" s="1132"/>
      <c r="M12" s="1133"/>
      <c r="N12" s="1133"/>
      <c r="O12" s="1133"/>
      <c r="P12" s="3319"/>
      <c r="Q12" s="1795">
        <f t="shared" si="6"/>
        <v>111</v>
      </c>
      <c r="R12" s="770" t="s">
        <v>17</v>
      </c>
      <c r="S12" s="771">
        <f t="shared" si="0"/>
        <v>100</v>
      </c>
      <c r="T12" s="770" t="s">
        <v>17</v>
      </c>
      <c r="U12" s="771">
        <f t="shared" si="1"/>
        <v>100</v>
      </c>
      <c r="V12" s="770" t="s">
        <v>17</v>
      </c>
      <c r="W12" s="771">
        <f t="shared" si="2"/>
        <v>100</v>
      </c>
      <c r="X12" s="772"/>
      <c r="Y12" s="3151"/>
      <c r="Z12" s="55">
        <f t="shared" si="7"/>
        <v>111</v>
      </c>
      <c r="AA12" s="773">
        <f>D12/F12</f>
        <v>1</v>
      </c>
      <c r="AB12" s="773">
        <f>D12/H12</f>
        <v>1</v>
      </c>
      <c r="AC12" s="2667">
        <f>D12/J12</f>
        <v>1</v>
      </c>
    </row>
    <row r="13" spans="1:29" ht="15">
      <c r="A13" s="428"/>
      <c r="B13" s="2597">
        <v>111</v>
      </c>
      <c r="C13" s="434"/>
      <c r="D13" s="435">
        <v>100</v>
      </c>
      <c r="E13" s="432"/>
      <c r="F13" s="136">
        <f>SUMIF(73:73,E13,74:74)-SUMIF(73:73,C13,74:74)+100</f>
        <v>100</v>
      </c>
      <c r="G13" s="2668"/>
      <c r="H13" s="435">
        <f>SUMIF(73:73,G13,74:74)-SUMIF(73:73,C13,74:74)+100</f>
        <v>100</v>
      </c>
      <c r="I13" s="432"/>
      <c r="J13" s="435">
        <f>SUMIF(73:73,I13,74:74)-SUMIF(73:73,C13,74:74)+100</f>
        <v>100</v>
      </c>
      <c r="K13" s="613"/>
      <c r="L13" s="1140"/>
      <c r="M13" s="1131"/>
      <c r="N13" s="1131"/>
      <c r="O13" s="1131"/>
      <c r="P13" s="3319"/>
      <c r="Q13" s="1795">
        <f t="shared" si="6"/>
        <v>111</v>
      </c>
      <c r="R13" s="770" t="s">
        <v>17</v>
      </c>
      <c r="S13" s="771">
        <f t="shared" si="0"/>
        <v>100</v>
      </c>
      <c r="T13" s="770" t="s">
        <v>17</v>
      </c>
      <c r="U13" s="771">
        <f t="shared" si="1"/>
        <v>100</v>
      </c>
      <c r="V13" s="770" t="s">
        <v>17</v>
      </c>
      <c r="W13" s="771">
        <f t="shared" si="2"/>
        <v>100</v>
      </c>
      <c r="X13" s="772"/>
      <c r="Y13" s="3151"/>
      <c r="Z13" s="55">
        <f t="shared" si="7"/>
        <v>111</v>
      </c>
      <c r="AA13" s="773">
        <f t="shared" si="3"/>
        <v>1</v>
      </c>
      <c r="AB13" s="773">
        <f t="shared" si="4"/>
        <v>1</v>
      </c>
      <c r="AC13" s="2667">
        <f t="shared" si="5"/>
        <v>1</v>
      </c>
    </row>
    <row r="14" spans="1:29" ht="15.75" thickBot="1">
      <c r="A14" s="436"/>
      <c r="B14" s="2599">
        <v>111</v>
      </c>
      <c r="C14" s="437"/>
      <c r="D14" s="438">
        <v>100</v>
      </c>
      <c r="E14" s="628"/>
      <c r="F14" s="438">
        <f>SUMIF(75:75,E14,76:76)-SUMIF(75:75,C14,76:76)+100</f>
        <v>100</v>
      </c>
      <c r="G14" s="2668"/>
      <c r="H14" s="438">
        <f>SUMIF(75:75,G14,76:76)-SUMIF(75:75,C14,76:76)+100</f>
        <v>100</v>
      </c>
      <c r="I14" s="432"/>
      <c r="J14" s="438">
        <f>SUMIF(75:75,I14,76:76)-SUMIF(75:75,C14,76:76)+100</f>
        <v>100</v>
      </c>
      <c r="K14" s="613"/>
      <c r="L14" s="1140"/>
      <c r="M14" s="1131"/>
      <c r="N14" s="1131"/>
      <c r="O14" s="1131"/>
      <c r="P14" s="3319"/>
      <c r="Q14" s="1795">
        <f t="shared" si="6"/>
        <v>111</v>
      </c>
      <c r="R14" s="770" t="s">
        <v>17</v>
      </c>
      <c r="S14" s="771">
        <f t="shared" si="0"/>
        <v>100</v>
      </c>
      <c r="T14" s="770" t="s">
        <v>17</v>
      </c>
      <c r="U14" s="771">
        <f t="shared" si="1"/>
        <v>100</v>
      </c>
      <c r="V14" s="770" t="s">
        <v>17</v>
      </c>
      <c r="W14" s="771">
        <f t="shared" si="2"/>
        <v>100</v>
      </c>
      <c r="X14" s="772"/>
      <c r="Y14" s="3151"/>
      <c r="Z14" s="55">
        <f t="shared" si="7"/>
        <v>111</v>
      </c>
      <c r="AA14" s="773">
        <f t="shared" si="3"/>
        <v>1</v>
      </c>
      <c r="AB14" s="773">
        <f t="shared" si="4"/>
        <v>1</v>
      </c>
      <c r="AC14" s="2667">
        <f t="shared" si="5"/>
        <v>1</v>
      </c>
    </row>
    <row r="15" spans="1:29" ht="71.25">
      <c r="A15" s="440" t="s">
        <v>2554</v>
      </c>
      <c r="B15" s="629" t="s">
        <v>2682</v>
      </c>
      <c r="C15" s="2669"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392" t="s">
        <v>2555</v>
      </c>
      <c r="Q15" s="1810" t="str">
        <f t="shared" si="6"/>
        <v>办公集聚程度</v>
      </c>
      <c r="R15" s="774" t="s">
        <v>17</v>
      </c>
      <c r="S15" s="775">
        <f t="shared" si="0"/>
        <v>100</v>
      </c>
      <c r="T15" s="774" t="s">
        <v>17</v>
      </c>
      <c r="U15" s="775">
        <f t="shared" si="1"/>
        <v>100</v>
      </c>
      <c r="V15" s="774" t="s">
        <v>17</v>
      </c>
      <c r="W15" s="775">
        <f t="shared" si="2"/>
        <v>100</v>
      </c>
      <c r="X15" s="1813"/>
      <c r="Y15" s="3322" t="s">
        <v>2555</v>
      </c>
      <c r="Z15" s="1814" t="str">
        <f t="shared" si="7"/>
        <v>办公集聚程度</v>
      </c>
      <c r="AA15" s="1811">
        <f t="shared" si="3"/>
        <v>1</v>
      </c>
      <c r="AB15" s="1811">
        <f t="shared" si="4"/>
        <v>1</v>
      </c>
      <c r="AC15" s="2670">
        <f t="shared" si="5"/>
        <v>1</v>
      </c>
    </row>
    <row r="16" spans="1:29" ht="15">
      <c r="A16" s="428"/>
      <c r="B16" s="630"/>
      <c r="C16" s="2608"/>
      <c r="D16" s="448"/>
      <c r="E16" s="447"/>
      <c r="F16" s="448"/>
      <c r="G16" s="2608"/>
      <c r="H16" s="450"/>
      <c r="I16" s="447"/>
      <c r="J16" s="448"/>
      <c r="K16" s="615"/>
      <c r="L16" s="1140"/>
      <c r="M16" s="1131"/>
      <c r="N16" s="1131"/>
      <c r="O16" s="1131"/>
      <c r="P16" s="3393"/>
      <c r="Q16" s="1810"/>
      <c r="R16" s="774"/>
      <c r="S16" s="775"/>
      <c r="T16" s="774"/>
      <c r="U16" s="775"/>
      <c r="V16" s="774"/>
      <c r="W16" s="775"/>
      <c r="X16" s="1813"/>
      <c r="Y16" s="3323"/>
      <c r="Z16" s="1814"/>
      <c r="AA16" s="1811">
        <v>1</v>
      </c>
      <c r="AB16" s="1811">
        <v>1</v>
      </c>
      <c r="AC16" s="2670">
        <v>1</v>
      </c>
    </row>
    <row r="17" spans="1:29" ht="114">
      <c r="A17" s="428"/>
      <c r="B17" s="631" t="s">
        <v>2094</v>
      </c>
      <c r="C17" s="2671" t="str">
        <f>估价对象房地状况!C6</f>
        <v>估价对象多面临街，周边道路路网较为密集，公共交通通达情况较好，有417、533路等、停车便捷程度较好，综合评价交通便捷度较好。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393"/>
      <c r="Q17" s="1810" t="str">
        <f>B17</f>
        <v>交通便捷度</v>
      </c>
      <c r="R17" s="774" t="s">
        <v>17</v>
      </c>
      <c r="S17" s="775">
        <f>F17</f>
        <v>100</v>
      </c>
      <c r="T17" s="774" t="s">
        <v>17</v>
      </c>
      <c r="U17" s="775">
        <f>H17</f>
        <v>100</v>
      </c>
      <c r="V17" s="774" t="s">
        <v>17</v>
      </c>
      <c r="W17" s="775">
        <f>J17</f>
        <v>100</v>
      </c>
      <c r="X17" s="1813"/>
      <c r="Y17" s="3323"/>
      <c r="Z17" s="1814" t="str">
        <f>Q17</f>
        <v>交通便捷度</v>
      </c>
      <c r="AA17" s="1811">
        <f t="shared" si="3"/>
        <v>1</v>
      </c>
      <c r="AB17" s="1811">
        <f t="shared" si="4"/>
        <v>1</v>
      </c>
      <c r="AC17" s="2670">
        <f t="shared" si="5"/>
        <v>1</v>
      </c>
    </row>
    <row r="18" spans="1:29" ht="15">
      <c r="A18" s="428"/>
      <c r="B18" s="632"/>
      <c r="C18" s="2672"/>
      <c r="D18" s="450"/>
      <c r="E18" s="2606"/>
      <c r="F18" s="450"/>
      <c r="G18" s="2607"/>
      <c r="H18" s="448"/>
      <c r="I18" s="2607"/>
      <c r="J18" s="448"/>
      <c r="K18" s="615"/>
      <c r="L18" s="1140"/>
      <c r="M18" s="1131"/>
      <c r="N18" s="1131"/>
      <c r="O18" s="1131"/>
      <c r="P18" s="3393"/>
      <c r="Q18" s="1810"/>
      <c r="R18" s="774"/>
      <c r="S18" s="775"/>
      <c r="T18" s="774"/>
      <c r="U18" s="775"/>
      <c r="V18" s="774"/>
      <c r="W18" s="775"/>
      <c r="X18" s="1813"/>
      <c r="Y18" s="3323"/>
      <c r="Z18" s="1814"/>
      <c r="AA18" s="1811">
        <v>1</v>
      </c>
      <c r="AB18" s="1811">
        <v>1</v>
      </c>
      <c r="AC18" s="2670">
        <v>1</v>
      </c>
    </row>
    <row r="19" spans="1:29" ht="185.25">
      <c r="A19" s="428"/>
      <c r="B19" s="631" t="s">
        <v>2683</v>
      </c>
      <c r="C19" s="2671" t="str">
        <f>估价对象房地状况!C7</f>
        <v>估价对象所在区域2公里范围内有：银行（中国银行、北京农村商业银行），购物（物联隆超市、超市发超市）、医院（北七家社区卫生服务中心），学校（北京市晨星学校、伊顿双语幼儿园），餐饮等，公共配套设施齐备情况较好。</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393"/>
      <c r="Q19" s="1810" t="str">
        <f>B19</f>
        <v>公共配套设施</v>
      </c>
      <c r="R19" s="774" t="s">
        <v>17</v>
      </c>
      <c r="S19" s="775">
        <f>F19</f>
        <v>100</v>
      </c>
      <c r="T19" s="774" t="s">
        <v>17</v>
      </c>
      <c r="U19" s="775">
        <f>H19</f>
        <v>100</v>
      </c>
      <c r="V19" s="774" t="s">
        <v>17</v>
      </c>
      <c r="W19" s="775">
        <f>J19</f>
        <v>100</v>
      </c>
      <c r="X19" s="1813"/>
      <c r="Y19" s="3323"/>
      <c r="Z19" s="1814" t="str">
        <f>Q19</f>
        <v>公共配套设施</v>
      </c>
      <c r="AA19" s="1811">
        <f t="shared" si="3"/>
        <v>1</v>
      </c>
      <c r="AB19" s="1811">
        <f t="shared" si="4"/>
        <v>1</v>
      </c>
      <c r="AC19" s="2670">
        <f t="shared" si="5"/>
        <v>1</v>
      </c>
    </row>
    <row r="20" spans="1:29" ht="15">
      <c r="A20" s="428"/>
      <c r="B20" s="632"/>
      <c r="C20" s="2608"/>
      <c r="D20" s="448"/>
      <c r="E20" s="2601"/>
      <c r="F20" s="448"/>
      <c r="G20" s="2602"/>
      <c r="H20" s="448"/>
      <c r="I20" s="2602"/>
      <c r="J20" s="448"/>
      <c r="K20" s="615"/>
      <c r="L20" s="1140"/>
      <c r="M20" s="1131"/>
      <c r="N20" s="1131"/>
      <c r="O20" s="1131"/>
      <c r="P20" s="3393"/>
      <c r="Q20" s="1810"/>
      <c r="R20" s="774"/>
      <c r="S20" s="775"/>
      <c r="T20" s="774"/>
      <c r="U20" s="775"/>
      <c r="V20" s="774"/>
      <c r="W20" s="775"/>
      <c r="X20" s="1813"/>
      <c r="Y20" s="3323"/>
      <c r="Z20" s="1814"/>
      <c r="AA20" s="1811">
        <v>1</v>
      </c>
      <c r="AB20" s="1811">
        <v>1</v>
      </c>
      <c r="AC20" s="2670">
        <v>1</v>
      </c>
    </row>
    <row r="21" spans="1:29" ht="42.75">
      <c r="A21" s="428"/>
      <c r="B21" s="633" t="s">
        <v>2684</v>
      </c>
      <c r="C21" s="2671" t="str">
        <f>估价对象房地状况!C8</f>
        <v>估价对象所在区域基础设施水平达到“七通”。</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393"/>
      <c r="Q21" s="1810" t="str">
        <f>B21</f>
        <v>基础设施水平</v>
      </c>
      <c r="R21" s="774" t="s">
        <v>17</v>
      </c>
      <c r="S21" s="775">
        <f>F21</f>
        <v>100</v>
      </c>
      <c r="T21" s="774" t="s">
        <v>17</v>
      </c>
      <c r="U21" s="775">
        <f>H21</f>
        <v>100</v>
      </c>
      <c r="V21" s="774" t="s">
        <v>17</v>
      </c>
      <c r="W21" s="775">
        <f>J21</f>
        <v>100</v>
      </c>
      <c r="X21" s="1813"/>
      <c r="Y21" s="3323"/>
      <c r="Z21" s="1814" t="str">
        <f>Q21</f>
        <v>基础设施水平</v>
      </c>
      <c r="AA21" s="1811">
        <f t="shared" ref="AA21" si="8">D21/F21</f>
        <v>1</v>
      </c>
      <c r="AB21" s="1811">
        <f t="shared" ref="AB21" si="9">D21/H21</f>
        <v>1</v>
      </c>
      <c r="AC21" s="2670">
        <f t="shared" ref="AC21" si="10">D21/J21</f>
        <v>1</v>
      </c>
    </row>
    <row r="22" spans="1:29" ht="15">
      <c r="A22" s="428"/>
      <c r="B22" s="633"/>
      <c r="C22" s="2672"/>
      <c r="D22" s="448"/>
      <c r="E22" s="447"/>
      <c r="F22" s="448"/>
      <c r="G22" s="2608"/>
      <c r="H22" s="448"/>
      <c r="I22" s="2608"/>
      <c r="J22" s="448"/>
      <c r="K22" s="1383"/>
      <c r="L22" s="1140"/>
      <c r="M22" s="1131"/>
      <c r="N22" s="1131"/>
      <c r="O22" s="1131"/>
      <c r="P22" s="3393"/>
      <c r="Q22" s="1810"/>
      <c r="R22" s="774"/>
      <c r="S22" s="775"/>
      <c r="T22" s="774"/>
      <c r="U22" s="775"/>
      <c r="V22" s="774"/>
      <c r="W22" s="775"/>
      <c r="X22" s="1813"/>
      <c r="Y22" s="3323"/>
      <c r="Z22" s="1814"/>
      <c r="AA22" s="1811">
        <v>1</v>
      </c>
      <c r="AB22" s="1811">
        <v>1</v>
      </c>
      <c r="AC22" s="2670">
        <v>1</v>
      </c>
    </row>
    <row r="23" spans="1:29" ht="85.5">
      <c r="A23" s="428"/>
      <c r="B23" s="631" t="s">
        <v>2685</v>
      </c>
      <c r="C23" s="2671" t="str">
        <f>估价对象房地状况!C9</f>
        <v>区域自然环境：未来科技城滨河公园；人文环境：无展览馆、博物馆等；综合评价环境状况一般。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393"/>
      <c r="Q23" s="1810" t="str">
        <f>B23</f>
        <v>环境质量</v>
      </c>
      <c r="R23" s="774" t="s">
        <v>17</v>
      </c>
      <c r="S23" s="775">
        <f>F23</f>
        <v>100</v>
      </c>
      <c r="T23" s="774" t="s">
        <v>17</v>
      </c>
      <c r="U23" s="775">
        <f>H23</f>
        <v>100</v>
      </c>
      <c r="V23" s="774" t="s">
        <v>17</v>
      </c>
      <c r="W23" s="775">
        <f>J23</f>
        <v>100</v>
      </c>
      <c r="X23" s="1813"/>
      <c r="Y23" s="3323"/>
      <c r="Z23" s="1814" t="str">
        <f>Q23</f>
        <v>环境质量</v>
      </c>
      <c r="AA23" s="1811">
        <f t="shared" si="3"/>
        <v>1</v>
      </c>
      <c r="AB23" s="1811">
        <f t="shared" si="4"/>
        <v>1</v>
      </c>
      <c r="AC23" s="2670">
        <f t="shared" si="5"/>
        <v>1</v>
      </c>
    </row>
    <row r="24" spans="1:29" ht="15">
      <c r="A24" s="428"/>
      <c r="B24" s="633"/>
      <c r="C24" s="2608"/>
      <c r="D24" s="448"/>
      <c r="E24" s="2601"/>
      <c r="F24" s="448"/>
      <c r="G24" s="2602"/>
      <c r="H24" s="448"/>
      <c r="I24" s="2602"/>
      <c r="J24" s="448"/>
      <c r="K24" s="615"/>
      <c r="L24" s="1140"/>
      <c r="M24" s="1131"/>
      <c r="N24" s="1131"/>
      <c r="O24" s="1131"/>
      <c r="P24" s="3393"/>
      <c r="Q24" s="1810"/>
      <c r="R24" s="774"/>
      <c r="S24" s="775"/>
      <c r="T24" s="774"/>
      <c r="U24" s="775"/>
      <c r="V24" s="774"/>
      <c r="W24" s="775"/>
      <c r="X24" s="1813"/>
      <c r="Y24" s="3323"/>
      <c r="Z24" s="1814"/>
      <c r="AA24" s="1811">
        <v>1</v>
      </c>
      <c r="AB24" s="1811">
        <v>1</v>
      </c>
      <c r="AC24" s="2670">
        <v>1</v>
      </c>
    </row>
    <row r="25" spans="1:29" ht="27">
      <c r="A25" s="404"/>
      <c r="B25" s="631" t="s">
        <v>2686</v>
      </c>
      <c r="C25" s="2612"/>
      <c r="D25" s="435">
        <v>100</v>
      </c>
      <c r="E25" s="434"/>
      <c r="F25" s="435">
        <f>SUMIF(87:87,E26,88:88)-SUMIF(87:87,C26,88:88)+100</f>
        <v>100</v>
      </c>
      <c r="G25" s="2612"/>
      <c r="H25" s="435">
        <f>SUMIF(87:87,G26,88:88)-SUMIF(87:87,C26,88:88)+100</f>
        <v>100</v>
      </c>
      <c r="I25" s="434"/>
      <c r="J25" s="435">
        <f>SUMIF(87:87,I26,88:88)-SUMIF(87:87,C26,88:88)+100</f>
        <v>100</v>
      </c>
      <c r="K25" s="614"/>
      <c r="L25" s="1140"/>
      <c r="M25" s="1131"/>
      <c r="N25" s="1131"/>
      <c r="O25" s="1131"/>
      <c r="P25" s="3393"/>
      <c r="Q25" s="1810" t="str">
        <f>B25</f>
        <v>毗邻道路的类型与等级</v>
      </c>
      <c r="R25" s="774" t="s">
        <v>17</v>
      </c>
      <c r="S25" s="775">
        <f>F25</f>
        <v>100</v>
      </c>
      <c r="T25" s="774" t="s">
        <v>17</v>
      </c>
      <c r="U25" s="775">
        <f>H25</f>
        <v>100</v>
      </c>
      <c r="V25" s="774" t="s">
        <v>17</v>
      </c>
      <c r="W25" s="775">
        <f>J25</f>
        <v>100</v>
      </c>
      <c r="X25" s="1813"/>
      <c r="Y25" s="3323"/>
      <c r="Z25" s="1814" t="str">
        <f>Q25</f>
        <v>毗邻道路的类型与等级</v>
      </c>
      <c r="AA25" s="1811">
        <f t="shared" si="3"/>
        <v>1</v>
      </c>
      <c r="AB25" s="1811">
        <f t="shared" si="4"/>
        <v>1</v>
      </c>
      <c r="AC25" s="2670">
        <f t="shared" si="5"/>
        <v>1</v>
      </c>
    </row>
    <row r="26" spans="1:29" ht="15">
      <c r="A26" s="404"/>
      <c r="B26" s="632"/>
      <c r="C26" s="634"/>
      <c r="D26" s="435"/>
      <c r="E26" s="616"/>
      <c r="F26" s="435"/>
      <c r="G26" s="634"/>
      <c r="H26" s="435"/>
      <c r="I26" s="616"/>
      <c r="J26" s="435"/>
      <c r="K26" s="615"/>
      <c r="L26" s="1140"/>
      <c r="M26" s="1131"/>
      <c r="N26" s="1131"/>
      <c r="O26" s="1131"/>
      <c r="P26" s="3393"/>
      <c r="Q26" s="1810"/>
      <c r="R26" s="774"/>
      <c r="S26" s="775"/>
      <c r="T26" s="774"/>
      <c r="U26" s="775"/>
      <c r="V26" s="774"/>
      <c r="W26" s="775"/>
      <c r="X26" s="1813"/>
      <c r="Y26" s="3323"/>
      <c r="Z26" s="1814"/>
      <c r="AA26" s="1811">
        <v>1</v>
      </c>
      <c r="AB26" s="1811">
        <v>1</v>
      </c>
      <c r="AC26" s="2670">
        <v>1</v>
      </c>
    </row>
    <row r="27" spans="1:29" ht="15">
      <c r="A27" s="428"/>
      <c r="B27" s="632" t="s">
        <v>2654</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393"/>
      <c r="Q27" s="1810" t="str">
        <f t="shared" ref="Q27:Q47" si="11">B27</f>
        <v>楼层</v>
      </c>
      <c r="R27" s="774" t="s">
        <v>17</v>
      </c>
      <c r="S27" s="775">
        <f>F27</f>
        <v>100</v>
      </c>
      <c r="T27" s="774" t="s">
        <v>17</v>
      </c>
      <c r="U27" s="775">
        <f>H27</f>
        <v>100</v>
      </c>
      <c r="V27" s="774" t="s">
        <v>17</v>
      </c>
      <c r="W27" s="775">
        <f>J27</f>
        <v>100</v>
      </c>
      <c r="X27" s="1813"/>
      <c r="Y27" s="3323"/>
      <c r="Z27" s="1814" t="str">
        <f>Q27</f>
        <v>楼层</v>
      </c>
      <c r="AA27" s="1811">
        <f t="shared" si="3"/>
        <v>1</v>
      </c>
      <c r="AB27" s="1811">
        <f t="shared" si="4"/>
        <v>1</v>
      </c>
      <c r="AC27" s="2670">
        <f t="shared" si="5"/>
        <v>1</v>
      </c>
    </row>
    <row r="28" spans="1:29" s="117" customFormat="1" ht="15">
      <c r="A28" s="431"/>
      <c r="B28" s="631" t="s">
        <v>2687</v>
      </c>
      <c r="C28" s="2673"/>
      <c r="D28" s="462">
        <v>100</v>
      </c>
      <c r="E28" s="2661"/>
      <c r="F28" s="462">
        <f>SUMIF(91:91,E28,92:92)-SUMIF(91:91,C28,92:92)+100</f>
        <v>100</v>
      </c>
      <c r="G28" s="2673"/>
      <c r="H28" s="462">
        <f>SUMIF(91:91,G28,92:92)-SUMIF(91:91,C28,92:92)+100</f>
        <v>100</v>
      </c>
      <c r="I28" s="2661"/>
      <c r="J28" s="462">
        <f>SUMIF(91:91,I28,92:92)-SUMIF(91:91,C28,92:92)+100</f>
        <v>100</v>
      </c>
      <c r="K28" s="612"/>
      <c r="L28" s="1132"/>
      <c r="M28" s="1133"/>
      <c r="N28" s="1133"/>
      <c r="O28" s="1133"/>
      <c r="P28" s="3393"/>
      <c r="Q28" s="1795" t="str">
        <f t="shared" si="11"/>
        <v>朝向</v>
      </c>
      <c r="R28" s="770" t="s">
        <v>17</v>
      </c>
      <c r="S28" s="771">
        <f>F28</f>
        <v>100</v>
      </c>
      <c r="T28" s="770" t="s">
        <v>17</v>
      </c>
      <c r="U28" s="771">
        <f>H28</f>
        <v>100</v>
      </c>
      <c r="V28" s="770" t="s">
        <v>17</v>
      </c>
      <c r="W28" s="771">
        <f>J28</f>
        <v>100</v>
      </c>
      <c r="X28" s="772"/>
      <c r="Y28" s="3323"/>
      <c r="Z28" s="55" t="str">
        <f>Q28</f>
        <v>朝向</v>
      </c>
      <c r="AA28" s="1811">
        <f>D28/F28</f>
        <v>1</v>
      </c>
      <c r="AB28" s="1811">
        <f>D28/H28</f>
        <v>1</v>
      </c>
      <c r="AC28" s="2670">
        <f>D28/J28</f>
        <v>1</v>
      </c>
    </row>
    <row r="29" spans="1:29" ht="15">
      <c r="A29" s="428"/>
      <c r="B29" s="2674">
        <v>111</v>
      </c>
      <c r="C29" s="2612"/>
      <c r="D29" s="435">
        <v>100</v>
      </c>
      <c r="E29" s="432"/>
      <c r="F29" s="435">
        <f>SUMIF(93:93,E29,94:94)-SUMIF(93:93,C29,94:94)+100</f>
        <v>100</v>
      </c>
      <c r="G29" s="2668"/>
      <c r="H29" s="435">
        <f>SUMIF(93:93,G29,94:94)-SUMIF(93:93,C29,94:94)+100</f>
        <v>100</v>
      </c>
      <c r="I29" s="432"/>
      <c r="J29" s="435">
        <f>SUMIF(93:93,I29,94:94)-SUMIF(93:93,C29,94:94)+100</f>
        <v>100</v>
      </c>
      <c r="K29" s="613"/>
      <c r="L29" s="1140"/>
      <c r="M29" s="1131"/>
      <c r="N29" s="1131"/>
      <c r="O29" s="1131"/>
      <c r="P29" s="3393"/>
      <c r="Q29" s="1810">
        <f t="shared" si="11"/>
        <v>111</v>
      </c>
      <c r="R29" s="774" t="s">
        <v>17</v>
      </c>
      <c r="S29" s="775">
        <f t="shared" ref="S29:S47" si="12">F29</f>
        <v>100</v>
      </c>
      <c r="T29" s="774" t="s">
        <v>17</v>
      </c>
      <c r="U29" s="775">
        <f t="shared" ref="U29:U47" si="13">H29</f>
        <v>100</v>
      </c>
      <c r="V29" s="774" t="s">
        <v>17</v>
      </c>
      <c r="W29" s="775">
        <f t="shared" ref="W29:W47" si="14">J29</f>
        <v>100</v>
      </c>
      <c r="X29" s="1813"/>
      <c r="Y29" s="3323"/>
      <c r="Z29" s="1814">
        <f t="shared" ref="Z29:Z47" si="15">Q29</f>
        <v>111</v>
      </c>
      <c r="AA29" s="1811">
        <f t="shared" si="3"/>
        <v>1</v>
      </c>
      <c r="AB29" s="1811">
        <f t="shared" si="4"/>
        <v>1</v>
      </c>
      <c r="AC29" s="2670">
        <f t="shared" si="5"/>
        <v>1</v>
      </c>
    </row>
    <row r="30" spans="1:29" ht="15">
      <c r="A30" s="428"/>
      <c r="B30" s="2674">
        <v>111</v>
      </c>
      <c r="C30" s="2612"/>
      <c r="D30" s="435">
        <v>100</v>
      </c>
      <c r="E30" s="432"/>
      <c r="F30" s="435">
        <f>SUMIF(95:95,E30,96:96)-SUMIF(95:95,C30,96:96)+100</f>
        <v>100</v>
      </c>
      <c r="G30" s="2668"/>
      <c r="H30" s="435">
        <f>SUMIF(95:95,G30,96:96)-SUMIF(95:95,C30,96:96)+100</f>
        <v>100</v>
      </c>
      <c r="I30" s="432"/>
      <c r="J30" s="435">
        <f>SUMIF(95:95,I30,96:96)-SUMIF(95:95,C30,96:96)+100</f>
        <v>100</v>
      </c>
      <c r="K30" s="613"/>
      <c r="L30" s="1140"/>
      <c r="M30" s="1131"/>
      <c r="N30" s="1131"/>
      <c r="O30" s="1131"/>
      <c r="P30" s="3393"/>
      <c r="Q30" s="1810">
        <f t="shared" si="11"/>
        <v>111</v>
      </c>
      <c r="R30" s="774" t="s">
        <v>17</v>
      </c>
      <c r="S30" s="775">
        <f t="shared" si="12"/>
        <v>100</v>
      </c>
      <c r="T30" s="774" t="s">
        <v>17</v>
      </c>
      <c r="U30" s="775">
        <f t="shared" si="13"/>
        <v>100</v>
      </c>
      <c r="V30" s="774" t="s">
        <v>17</v>
      </c>
      <c r="W30" s="775">
        <f t="shared" si="14"/>
        <v>100</v>
      </c>
      <c r="X30" s="1813"/>
      <c r="Y30" s="3323"/>
      <c r="Z30" s="1814">
        <f t="shared" si="15"/>
        <v>111</v>
      </c>
      <c r="AA30" s="1811">
        <f t="shared" si="3"/>
        <v>1</v>
      </c>
      <c r="AB30" s="1811">
        <f t="shared" si="4"/>
        <v>1</v>
      </c>
      <c r="AC30" s="2670">
        <f t="shared" si="5"/>
        <v>1</v>
      </c>
    </row>
    <row r="31" spans="1:29" ht="15">
      <c r="A31" s="428"/>
      <c r="B31" s="2674">
        <v>111</v>
      </c>
      <c r="C31" s="2612"/>
      <c r="D31" s="435">
        <v>100</v>
      </c>
      <c r="E31" s="432"/>
      <c r="F31" s="435">
        <f>SUMIF(97:97,E31,98:98)-SUMIF(97:97,C31,98:98)+100</f>
        <v>100</v>
      </c>
      <c r="G31" s="2668"/>
      <c r="H31" s="435">
        <f>SUMIF(97:97,G31,98:98)-SUMIF(97:97,C31,98:98)+100</f>
        <v>100</v>
      </c>
      <c r="I31" s="432"/>
      <c r="J31" s="435">
        <f>SUMIF(97:97,I31,98:98)-SUMIF(97:97,C31,98:98)+100</f>
        <v>100</v>
      </c>
      <c r="K31" s="613"/>
      <c r="L31" s="1140"/>
      <c r="M31" s="1131"/>
      <c r="N31" s="1131"/>
      <c r="O31" s="1131"/>
      <c r="P31" s="3393"/>
      <c r="Q31" s="1810">
        <f t="shared" si="11"/>
        <v>111</v>
      </c>
      <c r="R31" s="774" t="s">
        <v>17</v>
      </c>
      <c r="S31" s="775">
        <f t="shared" si="12"/>
        <v>100</v>
      </c>
      <c r="T31" s="774" t="s">
        <v>17</v>
      </c>
      <c r="U31" s="775">
        <f t="shared" si="13"/>
        <v>100</v>
      </c>
      <c r="V31" s="774" t="s">
        <v>17</v>
      </c>
      <c r="W31" s="775">
        <f t="shared" si="14"/>
        <v>100</v>
      </c>
      <c r="X31" s="1813"/>
      <c r="Y31" s="3323"/>
      <c r="Z31" s="1814">
        <f t="shared" si="15"/>
        <v>111</v>
      </c>
      <c r="AA31" s="1811">
        <f t="shared" si="3"/>
        <v>1</v>
      </c>
      <c r="AB31" s="1811">
        <f t="shared" si="4"/>
        <v>1</v>
      </c>
      <c r="AC31" s="2670">
        <f t="shared" si="5"/>
        <v>1</v>
      </c>
    </row>
    <row r="32" spans="1:29" ht="15.75" thickBot="1">
      <c r="A32" s="436"/>
      <c r="B32" s="635">
        <v>111</v>
      </c>
      <c r="C32" s="2613"/>
      <c r="D32" s="438">
        <v>100</v>
      </c>
      <c r="E32" s="628"/>
      <c r="F32" s="438">
        <f>SUMIF(99:99,E32,100:100)-SUMIF(99:99,C32,100:100)+100</f>
        <v>100</v>
      </c>
      <c r="G32" s="2668"/>
      <c r="H32" s="438">
        <f>SUMIF(99:99,G32,100:100)-SUMIF(99:99,C32,100:100)+100</f>
        <v>100</v>
      </c>
      <c r="I32" s="432"/>
      <c r="J32" s="438">
        <f>SUMIF(99:99,I32,100:100)-SUMIF(99:99,C32,100:100)+100</f>
        <v>100</v>
      </c>
      <c r="K32" s="613"/>
      <c r="L32" s="1140"/>
      <c r="M32" s="1131"/>
      <c r="N32" s="1131"/>
      <c r="O32" s="1131"/>
      <c r="P32" s="3393"/>
      <c r="Q32" s="1810">
        <f t="shared" si="11"/>
        <v>111</v>
      </c>
      <c r="R32" s="774" t="s">
        <v>17</v>
      </c>
      <c r="S32" s="775">
        <f t="shared" si="12"/>
        <v>100</v>
      </c>
      <c r="T32" s="774" t="s">
        <v>17</v>
      </c>
      <c r="U32" s="775">
        <f t="shared" si="13"/>
        <v>100</v>
      </c>
      <c r="V32" s="774" t="s">
        <v>17</v>
      </c>
      <c r="W32" s="775">
        <f t="shared" si="14"/>
        <v>100</v>
      </c>
      <c r="X32" s="1813"/>
      <c r="Y32" s="3323"/>
      <c r="Z32" s="1814">
        <f t="shared" si="15"/>
        <v>111</v>
      </c>
      <c r="AA32" s="1811">
        <f t="shared" si="3"/>
        <v>1</v>
      </c>
      <c r="AB32" s="1811">
        <f t="shared" si="4"/>
        <v>1</v>
      </c>
      <c r="AC32" s="2670">
        <f t="shared" si="5"/>
        <v>1</v>
      </c>
    </row>
    <row r="33" spans="1:29" ht="15">
      <c r="A33" s="440" t="s">
        <v>2558</v>
      </c>
      <c r="B33" s="71" t="s">
        <v>2688</v>
      </c>
      <c r="C33" s="2675"/>
      <c r="D33" s="467">
        <v>100</v>
      </c>
      <c r="E33" s="2675"/>
      <c r="F33" s="461">
        <f>SUMIF(101:101,E33,102:102)-SUMIF(101:101,C33,102:102)+100</f>
        <v>100</v>
      </c>
      <c r="G33" s="2675"/>
      <c r="H33" s="435">
        <f>SUMIF(101:101,G33,102:102)-SUMIF(101:101,C33,102:102)+100</f>
        <v>100</v>
      </c>
      <c r="I33" s="2675"/>
      <c r="J33" s="467">
        <f>SUMIF(101:101,I33,102:102)-SUMIF(101:101,C33,102:102)+100</f>
        <v>100</v>
      </c>
      <c r="K33" s="612"/>
      <c r="L33" s="1140"/>
      <c r="M33" s="1131"/>
      <c r="N33" s="1131"/>
      <c r="O33" s="1131"/>
      <c r="P33" s="3388" t="s">
        <v>2560</v>
      </c>
      <c r="Q33" s="1810" t="str">
        <f t="shared" si="11"/>
        <v>建筑类型</v>
      </c>
      <c r="R33" s="774" t="s">
        <v>17</v>
      </c>
      <c r="S33" s="775">
        <f t="shared" si="12"/>
        <v>100</v>
      </c>
      <c r="T33" s="774" t="s">
        <v>17</v>
      </c>
      <c r="U33" s="775">
        <f t="shared" si="13"/>
        <v>100</v>
      </c>
      <c r="V33" s="774" t="s">
        <v>17</v>
      </c>
      <c r="W33" s="775">
        <f t="shared" si="14"/>
        <v>100</v>
      </c>
      <c r="X33" s="1813"/>
      <c r="Y33" s="3325" t="s">
        <v>2560</v>
      </c>
      <c r="Z33" s="1814" t="str">
        <f t="shared" si="15"/>
        <v>建筑类型</v>
      </c>
      <c r="AA33" s="1811">
        <f t="shared" si="3"/>
        <v>1</v>
      </c>
      <c r="AB33" s="1811">
        <f t="shared" si="4"/>
        <v>1</v>
      </c>
      <c r="AC33" s="2670">
        <f t="shared" si="5"/>
        <v>1</v>
      </c>
    </row>
    <row r="34" spans="1:29" s="471" customFormat="1" ht="15">
      <c r="A34" s="468"/>
      <c r="B34" s="422" t="s">
        <v>2561</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389"/>
      <c r="Q34" s="776" t="str">
        <f t="shared" si="11"/>
        <v>项目建筑规模</v>
      </c>
      <c r="R34" s="777" t="s">
        <v>17</v>
      </c>
      <c r="S34" s="778" t="e">
        <f t="shared" si="12"/>
        <v>#N/A</v>
      </c>
      <c r="T34" s="777" t="s">
        <v>17</v>
      </c>
      <c r="U34" s="778" t="e">
        <f t="shared" si="13"/>
        <v>#N/A</v>
      </c>
      <c r="V34" s="777" t="s">
        <v>17</v>
      </c>
      <c r="W34" s="778" t="e">
        <f t="shared" si="14"/>
        <v>#N/A</v>
      </c>
      <c r="X34" s="779"/>
      <c r="Y34" s="3325"/>
      <c r="Z34" s="780" t="str">
        <f t="shared" si="15"/>
        <v>项目建筑规模</v>
      </c>
      <c r="AA34" s="1811" t="e">
        <f t="shared" si="3"/>
        <v>#N/A</v>
      </c>
      <c r="AB34" s="1811" t="e">
        <f t="shared" si="4"/>
        <v>#N/A</v>
      </c>
      <c r="AC34" s="2670" t="e">
        <f t="shared" si="5"/>
        <v>#N/A</v>
      </c>
    </row>
    <row r="35" spans="1:29" ht="15">
      <c r="A35" s="472"/>
      <c r="B35" s="422" t="s">
        <v>2562</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389"/>
      <c r="Q35" s="1810" t="str">
        <f t="shared" si="11"/>
        <v>建筑结构</v>
      </c>
      <c r="R35" s="774" t="s">
        <v>17</v>
      </c>
      <c r="S35" s="775">
        <f t="shared" si="12"/>
        <v>100</v>
      </c>
      <c r="T35" s="774" t="s">
        <v>17</v>
      </c>
      <c r="U35" s="775">
        <f t="shared" si="13"/>
        <v>100</v>
      </c>
      <c r="V35" s="774" t="s">
        <v>17</v>
      </c>
      <c r="W35" s="775">
        <f t="shared" si="14"/>
        <v>100</v>
      </c>
      <c r="X35" s="1813"/>
      <c r="Y35" s="3325"/>
      <c r="Z35" s="1814" t="str">
        <f t="shared" si="15"/>
        <v>建筑结构</v>
      </c>
      <c r="AA35" s="1811">
        <f t="shared" si="3"/>
        <v>1</v>
      </c>
      <c r="AB35" s="1811">
        <f t="shared" si="4"/>
        <v>1</v>
      </c>
      <c r="AC35" s="2670">
        <f t="shared" si="5"/>
        <v>1</v>
      </c>
    </row>
    <row r="36" spans="1:29" ht="15">
      <c r="A36" s="472"/>
      <c r="B36" s="422" t="s">
        <v>2656</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389"/>
      <c r="Q36" s="1810" t="str">
        <f t="shared" si="11"/>
        <v>公共部分装修</v>
      </c>
      <c r="R36" s="774" t="s">
        <v>17</v>
      </c>
      <c r="S36" s="775">
        <f t="shared" si="12"/>
        <v>100</v>
      </c>
      <c r="T36" s="774" t="s">
        <v>17</v>
      </c>
      <c r="U36" s="775">
        <f t="shared" si="13"/>
        <v>100</v>
      </c>
      <c r="V36" s="774" t="s">
        <v>17</v>
      </c>
      <c r="W36" s="775">
        <f t="shared" si="14"/>
        <v>100</v>
      </c>
      <c r="X36" s="1813"/>
      <c r="Y36" s="3325"/>
      <c r="Z36" s="1814" t="str">
        <f t="shared" si="15"/>
        <v>公共部分装修</v>
      </c>
      <c r="AA36" s="1811">
        <f t="shared" si="3"/>
        <v>1</v>
      </c>
      <c r="AB36" s="1811">
        <f t="shared" si="4"/>
        <v>1</v>
      </c>
      <c r="AC36" s="2670">
        <f t="shared" si="5"/>
        <v>1</v>
      </c>
    </row>
    <row r="37" spans="1:29" ht="15">
      <c r="A37" s="472"/>
      <c r="B37" s="422" t="s">
        <v>2657</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389"/>
      <c r="Q37" s="1810" t="str">
        <f t="shared" si="11"/>
        <v>成新度</v>
      </c>
      <c r="R37" s="774" t="s">
        <v>17</v>
      </c>
      <c r="S37" s="775" t="e">
        <f t="shared" si="12"/>
        <v>#N/A</v>
      </c>
      <c r="T37" s="774" t="s">
        <v>17</v>
      </c>
      <c r="U37" s="775" t="e">
        <f t="shared" si="13"/>
        <v>#N/A</v>
      </c>
      <c r="V37" s="774" t="s">
        <v>17</v>
      </c>
      <c r="W37" s="775" t="e">
        <f t="shared" si="14"/>
        <v>#N/A</v>
      </c>
      <c r="X37" s="1813"/>
      <c r="Y37" s="3325"/>
      <c r="Z37" s="1814" t="str">
        <f t="shared" si="15"/>
        <v>成新度</v>
      </c>
      <c r="AA37" s="1811" t="e">
        <f t="shared" si="3"/>
        <v>#N/A</v>
      </c>
      <c r="AB37" s="1811" t="e">
        <f t="shared" si="4"/>
        <v>#N/A</v>
      </c>
      <c r="AC37" s="2670" t="e">
        <f t="shared" si="5"/>
        <v>#N/A</v>
      </c>
    </row>
    <row r="38" spans="1:29" s="117" customFormat="1" ht="15">
      <c r="A38" s="473"/>
      <c r="B38" s="422" t="s">
        <v>2689</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389"/>
      <c r="Q38" s="1795" t="str">
        <f t="shared" si="11"/>
        <v>写字楼等级</v>
      </c>
      <c r="R38" s="770" t="s">
        <v>17</v>
      </c>
      <c r="S38" s="771">
        <f t="shared" si="12"/>
        <v>100</v>
      </c>
      <c r="T38" s="770" t="s">
        <v>17</v>
      </c>
      <c r="U38" s="771">
        <f t="shared" si="13"/>
        <v>100</v>
      </c>
      <c r="V38" s="770" t="s">
        <v>17</v>
      </c>
      <c r="W38" s="771">
        <f t="shared" si="14"/>
        <v>100</v>
      </c>
      <c r="X38" s="772"/>
      <c r="Y38" s="3325"/>
      <c r="Z38" s="55" t="str">
        <f t="shared" si="15"/>
        <v>写字楼等级</v>
      </c>
      <c r="AA38" s="773">
        <f t="shared" si="3"/>
        <v>1</v>
      </c>
      <c r="AB38" s="773">
        <f t="shared" si="4"/>
        <v>1</v>
      </c>
      <c r="AC38" s="2667">
        <f t="shared" si="5"/>
        <v>1</v>
      </c>
    </row>
    <row r="39" spans="1:29" ht="15">
      <c r="A39" s="472"/>
      <c r="B39" s="422" t="s">
        <v>2690</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389" t="s">
        <v>2560</v>
      </c>
      <c r="Q39" s="1810" t="str">
        <f t="shared" si="11"/>
        <v>物业管理</v>
      </c>
      <c r="R39" s="774" t="s">
        <v>17</v>
      </c>
      <c r="S39" s="775">
        <f t="shared" si="12"/>
        <v>100</v>
      </c>
      <c r="T39" s="774" t="s">
        <v>17</v>
      </c>
      <c r="U39" s="775">
        <f t="shared" si="13"/>
        <v>100</v>
      </c>
      <c r="V39" s="774" t="s">
        <v>17</v>
      </c>
      <c r="W39" s="775">
        <f t="shared" si="14"/>
        <v>100</v>
      </c>
      <c r="X39" s="1813"/>
      <c r="Y39" s="3325" t="s">
        <v>2560</v>
      </c>
      <c r="Z39" s="1814" t="str">
        <f t="shared" si="15"/>
        <v>物业管理</v>
      </c>
      <c r="AA39" s="1811">
        <f t="shared" si="3"/>
        <v>1</v>
      </c>
      <c r="AB39" s="1811">
        <f t="shared" si="4"/>
        <v>1</v>
      </c>
      <c r="AC39" s="2670">
        <f t="shared" si="5"/>
        <v>1</v>
      </c>
    </row>
    <row r="40" spans="1:29" ht="15">
      <c r="A40" s="472"/>
      <c r="B40" s="422" t="s">
        <v>2658</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389"/>
      <c r="Q40" s="1810" t="str">
        <f t="shared" si="11"/>
        <v>市政基础设施</v>
      </c>
      <c r="R40" s="774" t="s">
        <v>17</v>
      </c>
      <c r="S40" s="775">
        <f t="shared" si="12"/>
        <v>100</v>
      </c>
      <c r="T40" s="774" t="s">
        <v>17</v>
      </c>
      <c r="U40" s="775">
        <f t="shared" si="13"/>
        <v>100</v>
      </c>
      <c r="V40" s="774" t="s">
        <v>17</v>
      </c>
      <c r="W40" s="775">
        <f t="shared" si="14"/>
        <v>100</v>
      </c>
      <c r="X40" s="1813"/>
      <c r="Y40" s="3325"/>
      <c r="Z40" s="1814" t="str">
        <f t="shared" si="15"/>
        <v>市政基础设施</v>
      </c>
      <c r="AA40" s="1811">
        <f t="shared" si="3"/>
        <v>1</v>
      </c>
      <c r="AB40" s="1811">
        <f t="shared" si="4"/>
        <v>1</v>
      </c>
      <c r="AC40" s="2670">
        <f t="shared" si="5"/>
        <v>1</v>
      </c>
    </row>
    <row r="41" spans="1:29" ht="15">
      <c r="A41" s="472"/>
      <c r="B41" s="422" t="s">
        <v>2660</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389"/>
      <c r="Q41" s="1810" t="str">
        <f t="shared" si="11"/>
        <v>层高</v>
      </c>
      <c r="R41" s="774" t="s">
        <v>17</v>
      </c>
      <c r="S41" s="775">
        <f t="shared" si="12"/>
        <v>100</v>
      </c>
      <c r="T41" s="774" t="s">
        <v>17</v>
      </c>
      <c r="U41" s="775">
        <f t="shared" si="13"/>
        <v>100</v>
      </c>
      <c r="V41" s="774" t="s">
        <v>17</v>
      </c>
      <c r="W41" s="775">
        <f t="shared" si="14"/>
        <v>100</v>
      </c>
      <c r="X41" s="1813"/>
      <c r="Y41" s="3325"/>
      <c r="Z41" s="1814" t="str">
        <f t="shared" si="15"/>
        <v>层高</v>
      </c>
      <c r="AA41" s="1811">
        <f t="shared" si="3"/>
        <v>1</v>
      </c>
      <c r="AB41" s="1811">
        <f t="shared" si="4"/>
        <v>1</v>
      </c>
      <c r="AC41" s="2670">
        <f t="shared" si="5"/>
        <v>1</v>
      </c>
    </row>
    <row r="42" spans="1:29" s="471" customFormat="1" ht="15">
      <c r="A42" s="468"/>
      <c r="B42" s="1812" t="s">
        <v>2691</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389"/>
      <c r="Q42" s="776" t="str">
        <f t="shared" si="11"/>
        <v>单套建筑面积</v>
      </c>
      <c r="R42" s="777" t="s">
        <v>17</v>
      </c>
      <c r="S42" s="778">
        <f t="shared" si="12"/>
        <v>100</v>
      </c>
      <c r="T42" s="777" t="s">
        <v>17</v>
      </c>
      <c r="U42" s="778">
        <f t="shared" si="13"/>
        <v>100</v>
      </c>
      <c r="V42" s="777" t="s">
        <v>17</v>
      </c>
      <c r="W42" s="778">
        <f t="shared" si="14"/>
        <v>100</v>
      </c>
      <c r="X42" s="779"/>
      <c r="Y42" s="3325"/>
      <c r="Z42" s="780" t="str">
        <f t="shared" si="15"/>
        <v>单套建筑面积</v>
      </c>
      <c r="AA42" s="1811">
        <f t="shared" si="3"/>
        <v>1</v>
      </c>
      <c r="AB42" s="1811">
        <f t="shared" si="4"/>
        <v>1</v>
      </c>
      <c r="AC42" s="2670">
        <f t="shared" si="5"/>
        <v>1</v>
      </c>
    </row>
    <row r="43" spans="1:29" ht="15">
      <c r="A43" s="472"/>
      <c r="B43" s="422" t="s">
        <v>2663</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389"/>
      <c r="Q43" s="1810" t="str">
        <f t="shared" si="11"/>
        <v>内部装修</v>
      </c>
      <c r="R43" s="774" t="s">
        <v>17</v>
      </c>
      <c r="S43" s="775">
        <f t="shared" si="12"/>
        <v>100</v>
      </c>
      <c r="T43" s="774" t="s">
        <v>17</v>
      </c>
      <c r="U43" s="775">
        <f t="shared" si="13"/>
        <v>100</v>
      </c>
      <c r="V43" s="774" t="s">
        <v>17</v>
      </c>
      <c r="W43" s="775">
        <f t="shared" si="14"/>
        <v>100</v>
      </c>
      <c r="X43" s="1813"/>
      <c r="Y43" s="3325"/>
      <c r="Z43" s="1814" t="str">
        <f t="shared" si="15"/>
        <v>内部装修</v>
      </c>
      <c r="AA43" s="1811">
        <f t="shared" si="3"/>
        <v>1</v>
      </c>
      <c r="AB43" s="1811">
        <f t="shared" si="4"/>
        <v>1</v>
      </c>
      <c r="AC43" s="2670">
        <f t="shared" si="5"/>
        <v>1</v>
      </c>
    </row>
    <row r="44" spans="1:29" ht="15">
      <c r="A44" s="472"/>
      <c r="B44" s="422" t="s">
        <v>2571</v>
      </c>
      <c r="C44" s="460"/>
      <c r="D44" s="435">
        <v>100</v>
      </c>
      <c r="E44" s="2610"/>
      <c r="F44" s="461">
        <f>SUMIF(125:125,E44,126:126)-SUMIF(125:125,C44,126:126)+100</f>
        <v>100</v>
      </c>
      <c r="G44" s="2610"/>
      <c r="H44" s="435">
        <f>SUMIF(125:125,G44,126:126)-SUMIF(125:125,C44,126:126)+100</f>
        <v>100</v>
      </c>
      <c r="I44" s="2610"/>
      <c r="J44" s="435">
        <f>SUMIF(125:125,I44,126:126)-SUMIF(125:125,C44,126:126)+100</f>
        <v>100</v>
      </c>
      <c r="K44" s="612"/>
      <c r="L44" s="1140"/>
      <c r="M44" s="1131"/>
      <c r="N44" s="1131"/>
      <c r="O44" s="1131"/>
      <c r="P44" s="3389"/>
      <c r="Q44" s="1810" t="str">
        <f t="shared" si="11"/>
        <v>内部装修维护情况</v>
      </c>
      <c r="R44" s="774" t="s">
        <v>17</v>
      </c>
      <c r="S44" s="775">
        <f t="shared" si="12"/>
        <v>100</v>
      </c>
      <c r="T44" s="774" t="s">
        <v>17</v>
      </c>
      <c r="U44" s="775">
        <f t="shared" si="13"/>
        <v>100</v>
      </c>
      <c r="V44" s="774" t="s">
        <v>17</v>
      </c>
      <c r="W44" s="775">
        <f t="shared" si="14"/>
        <v>100</v>
      </c>
      <c r="X44" s="1813"/>
      <c r="Y44" s="3325"/>
      <c r="Z44" s="1814" t="str">
        <f t="shared" si="15"/>
        <v>内部装修维护情况</v>
      </c>
      <c r="AA44" s="1811">
        <f t="shared" si="3"/>
        <v>1</v>
      </c>
      <c r="AB44" s="1811">
        <f t="shared" si="4"/>
        <v>1</v>
      </c>
      <c r="AC44" s="2670">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389"/>
      <c r="Q45" s="1795">
        <f t="shared" si="11"/>
        <v>111</v>
      </c>
      <c r="R45" s="770" t="s">
        <v>17</v>
      </c>
      <c r="S45" s="771">
        <f t="shared" si="12"/>
        <v>100</v>
      </c>
      <c r="T45" s="770" t="s">
        <v>17</v>
      </c>
      <c r="U45" s="771">
        <f t="shared" si="13"/>
        <v>100</v>
      </c>
      <c r="V45" s="770" t="s">
        <v>17</v>
      </c>
      <c r="W45" s="771">
        <f t="shared" si="14"/>
        <v>100</v>
      </c>
      <c r="X45" s="772"/>
      <c r="Y45" s="3325"/>
      <c r="Z45" s="55">
        <f t="shared" si="15"/>
        <v>111</v>
      </c>
      <c r="AA45" s="773">
        <f t="shared" si="3"/>
        <v>1</v>
      </c>
      <c r="AB45" s="773">
        <f t="shared" si="4"/>
        <v>1</v>
      </c>
      <c r="AC45" s="2667">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389"/>
      <c r="Q46" s="1810">
        <f t="shared" si="11"/>
        <v>111</v>
      </c>
      <c r="R46" s="774" t="s">
        <v>17</v>
      </c>
      <c r="S46" s="775">
        <f t="shared" si="12"/>
        <v>100</v>
      </c>
      <c r="T46" s="774" t="s">
        <v>17</v>
      </c>
      <c r="U46" s="775">
        <f t="shared" si="13"/>
        <v>100</v>
      </c>
      <c r="V46" s="774" t="s">
        <v>17</v>
      </c>
      <c r="W46" s="775">
        <f t="shared" si="14"/>
        <v>100</v>
      </c>
      <c r="X46" s="1813"/>
      <c r="Y46" s="3325"/>
      <c r="Z46" s="1814">
        <f t="shared" si="15"/>
        <v>111</v>
      </c>
      <c r="AA46" s="1811">
        <f t="shared" si="3"/>
        <v>1</v>
      </c>
      <c r="AB46" s="1811">
        <f t="shared" si="4"/>
        <v>1</v>
      </c>
      <c r="AC46" s="2670">
        <f t="shared" si="5"/>
        <v>1</v>
      </c>
    </row>
    <row r="47" spans="1:29" ht="15.75" thickBot="1">
      <c r="A47" s="478"/>
      <c r="B47" s="2599">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390"/>
      <c r="Q47" s="1810">
        <f t="shared" si="11"/>
        <v>111</v>
      </c>
      <c r="R47" s="774" t="s">
        <v>17</v>
      </c>
      <c r="S47" s="775">
        <f t="shared" si="12"/>
        <v>100</v>
      </c>
      <c r="T47" s="774" t="s">
        <v>17</v>
      </c>
      <c r="U47" s="775">
        <f t="shared" si="13"/>
        <v>100</v>
      </c>
      <c r="V47" s="774" t="s">
        <v>17</v>
      </c>
      <c r="W47" s="775">
        <f t="shared" si="14"/>
        <v>100</v>
      </c>
      <c r="X47" s="1813"/>
      <c r="Y47" s="3391"/>
      <c r="Z47" s="1814">
        <f t="shared" si="15"/>
        <v>111</v>
      </c>
      <c r="AA47" s="1811">
        <f t="shared" si="3"/>
        <v>1</v>
      </c>
      <c r="AB47" s="1811">
        <f t="shared" si="4"/>
        <v>1</v>
      </c>
      <c r="AC47" s="2670">
        <f t="shared" si="5"/>
        <v>1</v>
      </c>
    </row>
    <row r="48" spans="1:29" ht="15">
      <c r="A48" s="479" t="s">
        <v>2572</v>
      </c>
      <c r="B48" s="480"/>
      <c r="C48" s="1407" t="s">
        <v>1</v>
      </c>
      <c r="D48" s="1408"/>
      <c r="E48" s="1409"/>
      <c r="F48" s="1410"/>
      <c r="G48" s="1411"/>
      <c r="H48" s="1412"/>
      <c r="I48" s="1409"/>
      <c r="J48" s="485"/>
      <c r="K48" s="783"/>
      <c r="L48" s="1143"/>
      <c r="M48" s="1131"/>
      <c r="N48" s="1131"/>
      <c r="O48" s="1131"/>
      <c r="P48" s="3319" t="str">
        <f>A48</f>
        <v>成交单价（元/平方米）</v>
      </c>
      <c r="Q48" s="3320"/>
      <c r="R48" s="3387">
        <f>E48</f>
        <v>0</v>
      </c>
      <c r="S48" s="3387"/>
      <c r="T48" s="3387">
        <f>G48</f>
        <v>0</v>
      </c>
      <c r="U48" s="3387"/>
      <c r="V48" s="3387">
        <f>I48</f>
        <v>0</v>
      </c>
      <c r="W48" s="3387"/>
      <c r="X48" s="446"/>
      <c r="Y48" s="781"/>
      <c r="Z48" s="446"/>
      <c r="AA48" s="446"/>
      <c r="AB48" s="446"/>
      <c r="AC48" s="630"/>
    </row>
    <row r="49" spans="1:29" ht="15.75" thickBot="1">
      <c r="A49" s="486" t="s">
        <v>2664</v>
      </c>
      <c r="B49" s="487"/>
      <c r="C49" s="1413" t="e">
        <f>R50</f>
        <v>#DIV/0!</v>
      </c>
      <c r="D49" s="1414"/>
      <c r="E49" s="1415" t="e">
        <f>R49</f>
        <v>#DIV/0!</v>
      </c>
      <c r="F49" s="1415"/>
      <c r="G49" s="1413" t="e">
        <f>T49</f>
        <v>#DIV/0!</v>
      </c>
      <c r="H49" s="1414"/>
      <c r="I49" s="1415" t="e">
        <f>V49</f>
        <v>#DIV/0!</v>
      </c>
      <c r="J49" s="489"/>
      <c r="K49" s="784"/>
      <c r="L49" s="1143"/>
      <c r="M49" s="1131"/>
      <c r="N49" s="1131"/>
      <c r="O49" s="1131"/>
      <c r="P49" s="3319" t="str">
        <f>A49</f>
        <v>比较价值（元/平方米）</v>
      </c>
      <c r="Q49" s="3320"/>
      <c r="R49" s="3387" t="e">
        <f>IF(F1="售价",ROUND(PRODUCT(R48,AA7:AA47),0),ROUND(PRODUCT(R48,AA7:AA47),1))</f>
        <v>#DIV/0!</v>
      </c>
      <c r="S49" s="3387"/>
      <c r="T49" s="3387" t="e">
        <f>IF(F1="售价",ROUND(PRODUCT(T48,AB7:AB47),0),ROUND(PRODUCT(T48,AB7:AB47),1))</f>
        <v>#DIV/0!</v>
      </c>
      <c r="U49" s="3387"/>
      <c r="V49" s="3387" t="e">
        <f>IF(F1="售价",ROUND(PRODUCT(V48,AC7:AC47),0),ROUND(PRODUCT(V48,AC7:AC47),1))</f>
        <v>#DIV/0!</v>
      </c>
      <c r="W49" s="3387"/>
      <c r="X49" s="446"/>
      <c r="Y49" s="446"/>
      <c r="Z49" s="446"/>
      <c r="AA49" s="446"/>
      <c r="AB49" s="446"/>
      <c r="AC49" s="630"/>
    </row>
    <row r="50" spans="1:29" ht="15.75" thickBot="1">
      <c r="A50" s="492" t="s">
        <v>2665</v>
      </c>
      <c r="B50" s="493"/>
      <c r="C50" s="1417" t="e">
        <f>R50</f>
        <v>#DIV/0!</v>
      </c>
      <c r="D50" s="1417"/>
      <c r="E50" s="1417"/>
      <c r="F50" s="1417"/>
      <c r="G50" s="1417"/>
      <c r="H50" s="1417"/>
      <c r="I50" s="1417"/>
      <c r="J50" s="494"/>
      <c r="K50" s="785"/>
      <c r="L50" s="1143"/>
      <c r="M50" s="1131"/>
      <c r="N50" s="1131"/>
      <c r="O50" s="1131"/>
      <c r="P50" s="3427" t="str">
        <f>A50</f>
        <v>估价对象XX用房的比较价值（楼面单价，元/平方米）</v>
      </c>
      <c r="Q50" s="3428"/>
      <c r="R50" s="3429" t="e">
        <f>IF(F1="售价",ROUND(AVERAGE(R49:V49),0),ROUND(AVERAGE(R49:V49),1))</f>
        <v>#DIV/0!</v>
      </c>
      <c r="S50" s="3429"/>
      <c r="T50" s="3429"/>
      <c r="U50" s="3429"/>
      <c r="V50" s="3429"/>
      <c r="W50" s="3429"/>
      <c r="X50" s="2650"/>
      <c r="Y50" s="2650"/>
      <c r="Z50" s="2650"/>
      <c r="AA50" s="2650"/>
      <c r="AB50" s="2650"/>
      <c r="AC50" s="2651"/>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2666</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2667</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2668</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76"/>
    </row>
    <row r="56" spans="1:29" s="502" customFormat="1">
      <c r="A56" s="1145"/>
      <c r="B56" s="1146"/>
      <c r="C56" s="1150"/>
      <c r="D56" s="1145"/>
      <c r="E56" s="1145"/>
      <c r="F56" s="1145"/>
      <c r="G56" s="1145"/>
      <c r="H56" s="1145"/>
      <c r="I56" s="1145"/>
      <c r="J56" s="1145"/>
      <c r="K56" s="1148"/>
      <c r="L56" s="1149"/>
      <c r="M56" s="1145"/>
      <c r="N56" s="1145"/>
      <c r="O56" s="1145"/>
      <c r="P56" s="2676"/>
    </row>
    <row r="57" spans="1:29">
      <c r="A57" s="1144"/>
      <c r="B57" s="1146"/>
      <c r="C57" s="1150"/>
      <c r="D57" s="1144"/>
      <c r="E57" s="1144"/>
      <c r="F57" s="1144"/>
      <c r="G57" s="1144"/>
      <c r="H57" s="1144"/>
      <c r="I57" s="1144"/>
      <c r="J57" s="1144"/>
      <c r="K57" s="1105"/>
      <c r="L57" s="1106"/>
      <c r="M57" s="1144"/>
      <c r="N57" s="1144"/>
      <c r="O57" s="1144"/>
    </row>
    <row r="58" spans="1:29" ht="21.75" thickBot="1">
      <c r="A58" s="763" t="s">
        <v>2669</v>
      </c>
      <c r="B58" s="759"/>
      <c r="C58" s="764"/>
      <c r="D58" s="764"/>
      <c r="E58" s="764"/>
      <c r="F58" s="765"/>
      <c r="G58" s="765"/>
      <c r="H58" s="764"/>
      <c r="I58" s="764"/>
      <c r="J58" s="764"/>
      <c r="K58" s="766"/>
      <c r="L58" s="1161"/>
      <c r="M58" s="1159"/>
      <c r="N58" s="1159"/>
      <c r="O58" s="1159"/>
      <c r="P58" s="2677"/>
      <c r="Q58" s="504"/>
    </row>
    <row r="59" spans="1:29" s="508" customFormat="1" ht="15">
      <c r="A59" s="505" t="s">
        <v>2543</v>
      </c>
      <c r="B59" s="506"/>
      <c r="C59" s="1574" t="str">
        <f>YEAR(C7)&amp;"-"&amp;MONTH(C7)</f>
        <v>2018-1</v>
      </c>
      <c r="D59" s="1575">
        <f>EDATE(C59,-1)</f>
        <v>43070</v>
      </c>
      <c r="E59" s="1575">
        <f>EDATE(D59,-1)</f>
        <v>43040</v>
      </c>
      <c r="F59" s="1575">
        <f t="shared" ref="F59:O59" si="16">EDATE(E59,-1)</f>
        <v>43009</v>
      </c>
      <c r="G59" s="1575">
        <f t="shared" si="16"/>
        <v>42979</v>
      </c>
      <c r="H59" s="1575">
        <f t="shared" si="16"/>
        <v>42948</v>
      </c>
      <c r="I59" s="1575">
        <f t="shared" si="16"/>
        <v>42917</v>
      </c>
      <c r="J59" s="1575">
        <f t="shared" si="16"/>
        <v>42887</v>
      </c>
      <c r="K59" s="1575">
        <f t="shared" si="16"/>
        <v>42856</v>
      </c>
      <c r="L59" s="1575">
        <f t="shared" si="16"/>
        <v>42826</v>
      </c>
      <c r="M59" s="1575">
        <f t="shared" si="16"/>
        <v>42795</v>
      </c>
      <c r="N59" s="1575">
        <f t="shared" si="16"/>
        <v>42767</v>
      </c>
      <c r="O59" s="1575">
        <f t="shared" si="16"/>
        <v>42736</v>
      </c>
      <c r="P59" s="1571"/>
    </row>
    <row r="60" spans="1:29" s="117" customFormat="1" ht="15">
      <c r="A60" s="509"/>
      <c r="B60" s="510"/>
      <c r="C60" s="1573">
        <v>100</v>
      </c>
      <c r="D60" s="512"/>
      <c r="E60" s="512"/>
      <c r="F60" s="512"/>
      <c r="G60" s="512"/>
      <c r="H60" s="512"/>
      <c r="I60" s="512"/>
      <c r="J60" s="512"/>
      <c r="K60" s="512"/>
      <c r="L60" s="512"/>
      <c r="M60" s="513"/>
      <c r="N60" s="512"/>
      <c r="O60" s="513"/>
      <c r="P60" s="2678"/>
    </row>
    <row r="61" spans="1:29" s="117" customFormat="1" ht="15.75" thickBot="1">
      <c r="A61" s="515" t="s">
        <v>2580</v>
      </c>
      <c r="B61" s="516"/>
      <c r="C61" s="517"/>
      <c r="D61" s="518"/>
      <c r="E61" s="518"/>
      <c r="F61" s="518"/>
      <c r="G61" s="518"/>
      <c r="H61" s="518"/>
      <c r="I61" s="518"/>
      <c r="J61" s="518"/>
      <c r="K61" s="518"/>
      <c r="L61" s="518"/>
      <c r="M61" s="519"/>
      <c r="N61" s="518"/>
      <c r="O61" s="519"/>
      <c r="P61" s="2678"/>
      <c r="Q61" s="504"/>
    </row>
    <row r="62" spans="1:29" s="117" customFormat="1" ht="15">
      <c r="A62" s="521" t="s">
        <v>2545</v>
      </c>
      <c r="B62" s="510"/>
      <c r="C62" s="522" t="s">
        <v>2647</v>
      </c>
      <c r="D62" s="523"/>
      <c r="E62" s="523"/>
      <c r="F62" s="523"/>
      <c r="G62" s="523"/>
      <c r="H62" s="523"/>
      <c r="I62" s="523"/>
      <c r="J62" s="523"/>
      <c r="K62" s="523"/>
      <c r="L62" s="524"/>
      <c r="M62" s="525"/>
      <c r="N62" s="1151"/>
      <c r="O62" s="1151"/>
      <c r="P62" s="2679"/>
      <c r="Q62" s="504"/>
    </row>
    <row r="63" spans="1:29" s="117" customFormat="1" ht="15.75" thickBot="1">
      <c r="A63" s="521"/>
      <c r="B63" s="510"/>
      <c r="C63" s="511">
        <v>100</v>
      </c>
      <c r="D63" s="512"/>
      <c r="E63" s="512"/>
      <c r="F63" s="512"/>
      <c r="G63" s="512"/>
      <c r="H63" s="512"/>
      <c r="I63" s="512"/>
      <c r="J63" s="512"/>
      <c r="K63" s="512"/>
      <c r="L63" s="512"/>
      <c r="M63" s="514"/>
      <c r="N63" s="1151"/>
      <c r="O63" s="1151"/>
      <c r="P63" s="2678"/>
      <c r="Q63" s="504"/>
    </row>
    <row r="64" spans="1:29">
      <c r="A64" s="527" t="s">
        <v>2583</v>
      </c>
      <c r="B64" s="528" t="s">
        <v>2549</v>
      </c>
      <c r="C64" s="529">
        <f>C9</f>
        <v>0</v>
      </c>
      <c r="D64" s="530"/>
      <c r="E64" s="530"/>
      <c r="F64" s="530"/>
      <c r="G64" s="530"/>
      <c r="H64" s="530"/>
      <c r="I64" s="530"/>
      <c r="J64" s="530"/>
      <c r="K64" s="531"/>
      <c r="L64" s="532"/>
      <c r="M64" s="533"/>
      <c r="N64" s="1152"/>
      <c r="O64" s="1152"/>
      <c r="P64" s="2680"/>
      <c r="Q64" s="504"/>
    </row>
    <row r="65" spans="1:17" ht="15.75" thickBot="1">
      <c r="A65" s="534"/>
      <c r="B65" s="535"/>
      <c r="C65" s="536">
        <v>100</v>
      </c>
      <c r="D65" s="536"/>
      <c r="E65" s="536"/>
      <c r="F65" s="536"/>
      <c r="G65" s="536"/>
      <c r="H65" s="536"/>
      <c r="I65" s="536"/>
      <c r="J65" s="536"/>
      <c r="K65" s="536"/>
      <c r="L65" s="536"/>
      <c r="M65" s="537"/>
      <c r="N65" s="1153"/>
      <c r="O65" s="1153"/>
      <c r="P65" s="2680"/>
      <c r="Q65" s="504"/>
    </row>
    <row r="66" spans="1:17" ht="27.75" thickTop="1">
      <c r="A66" s="534"/>
      <c r="B66" s="538" t="s">
        <v>2552</v>
      </c>
      <c r="C66" s="539" t="s">
        <v>2584</v>
      </c>
      <c r="D66" s="539" t="s">
        <v>2585</v>
      </c>
      <c r="E66" s="539" t="s">
        <v>2586</v>
      </c>
      <c r="F66" s="539" t="s">
        <v>2587</v>
      </c>
      <c r="G66" s="539" t="s">
        <v>2588</v>
      </c>
      <c r="H66" s="539" t="s">
        <v>2589</v>
      </c>
      <c r="I66" s="539" t="s">
        <v>2590</v>
      </c>
      <c r="J66" s="539"/>
      <c r="K66" s="540"/>
      <c r="L66" s="541"/>
      <c r="M66" s="542"/>
      <c r="N66" s="1152"/>
      <c r="O66" s="1152"/>
      <c r="P66" s="2680"/>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0"/>
      <c r="Q67" s="504"/>
    </row>
    <row r="68" spans="1:17" ht="15.75" thickTop="1">
      <c r="A68" s="534"/>
      <c r="B68" s="546" t="s">
        <v>2553</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0"/>
      <c r="Q68" s="504"/>
    </row>
    <row r="69" spans="1:17" ht="15">
      <c r="A69" s="534"/>
      <c r="B69" s="548"/>
      <c r="C69" s="549"/>
      <c r="D69" s="549"/>
      <c r="E69" s="549"/>
      <c r="F69" s="549"/>
      <c r="G69" s="549"/>
      <c r="H69" s="549"/>
      <c r="I69" s="549"/>
      <c r="J69" s="549"/>
      <c r="K69" s="550"/>
      <c r="L69" s="551"/>
      <c r="M69" s="552"/>
      <c r="N69" s="1152"/>
      <c r="O69" s="1152"/>
      <c r="P69" s="2680"/>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0"/>
      <c r="Q70" s="504"/>
    </row>
    <row r="71" spans="1:17" s="471" customFormat="1" ht="15.75" thickTop="1">
      <c r="A71" s="553"/>
      <c r="B71" s="538">
        <f>B12</f>
        <v>111</v>
      </c>
      <c r="C71" s="554"/>
      <c r="D71" s="554"/>
      <c r="E71" s="554"/>
      <c r="F71" s="554"/>
      <c r="G71" s="554"/>
      <c r="H71" s="555"/>
      <c r="I71" s="555"/>
      <c r="J71" s="555"/>
      <c r="K71" s="555"/>
      <c r="L71" s="556"/>
      <c r="M71" s="557"/>
      <c r="N71" s="1154"/>
      <c r="O71" s="1154"/>
      <c r="P71" s="2681"/>
      <c r="Q71" s="559"/>
    </row>
    <row r="72" spans="1:17" s="471" customFormat="1" ht="15.75" thickBot="1">
      <c r="A72" s="553"/>
      <c r="B72" s="543"/>
      <c r="C72" s="560"/>
      <c r="D72" s="536"/>
      <c r="E72" s="536"/>
      <c r="F72" s="536"/>
      <c r="G72" s="536"/>
      <c r="H72" s="536"/>
      <c r="I72" s="536"/>
      <c r="J72" s="536"/>
      <c r="K72" s="536"/>
      <c r="L72" s="536"/>
      <c r="M72" s="537"/>
      <c r="N72" s="1153"/>
      <c r="O72" s="1153"/>
      <c r="P72" s="2681"/>
      <c r="Q72" s="559"/>
    </row>
    <row r="73" spans="1:17" s="471" customFormat="1" ht="15.75" thickTop="1">
      <c r="A73" s="553"/>
      <c r="B73" s="538">
        <f>B13</f>
        <v>111</v>
      </c>
      <c r="C73" s="554"/>
      <c r="D73" s="554"/>
      <c r="E73" s="554"/>
      <c r="F73" s="554"/>
      <c r="G73" s="554"/>
      <c r="H73" s="555"/>
      <c r="I73" s="555"/>
      <c r="J73" s="555"/>
      <c r="K73" s="555"/>
      <c r="L73" s="556"/>
      <c r="M73" s="557"/>
      <c r="N73" s="1154"/>
      <c r="O73" s="1154"/>
      <c r="P73" s="2682"/>
      <c r="Q73" s="561"/>
    </row>
    <row r="74" spans="1:17" s="471" customFormat="1" ht="15.75" thickBot="1">
      <c r="A74" s="553"/>
      <c r="B74" s="543"/>
      <c r="C74" s="560"/>
      <c r="D74" s="560"/>
      <c r="E74" s="560"/>
      <c r="F74" s="560"/>
      <c r="G74" s="560"/>
      <c r="H74" s="562"/>
      <c r="I74" s="562"/>
      <c r="J74" s="562"/>
      <c r="K74" s="562"/>
      <c r="L74" s="562"/>
      <c r="M74" s="563"/>
      <c r="N74" s="1154"/>
      <c r="O74" s="1154"/>
      <c r="P74" s="2681"/>
      <c r="Q74" s="559"/>
    </row>
    <row r="75" spans="1:17" s="471" customFormat="1" ht="15.75" thickTop="1">
      <c r="A75" s="553"/>
      <c r="B75" s="546">
        <f>B14</f>
        <v>111</v>
      </c>
      <c r="C75" s="523"/>
      <c r="D75" s="523"/>
      <c r="E75" s="523"/>
      <c r="F75" s="523"/>
      <c r="G75" s="523"/>
      <c r="H75" s="564"/>
      <c r="I75" s="564"/>
      <c r="J75" s="564"/>
      <c r="K75" s="564"/>
      <c r="L75" s="565"/>
      <c r="M75" s="566"/>
      <c r="N75" s="1154"/>
      <c r="O75" s="1154"/>
      <c r="P75" s="2683"/>
      <c r="Q75" s="559"/>
    </row>
    <row r="76" spans="1:17" s="471" customFormat="1" ht="15.75" thickBot="1">
      <c r="A76" s="568"/>
      <c r="B76" s="569"/>
      <c r="C76" s="570"/>
      <c r="D76" s="570"/>
      <c r="E76" s="570"/>
      <c r="F76" s="570"/>
      <c r="G76" s="570"/>
      <c r="H76" s="571"/>
      <c r="I76" s="571"/>
      <c r="J76" s="571"/>
      <c r="K76" s="571"/>
      <c r="L76" s="571"/>
      <c r="M76" s="572"/>
      <c r="N76" s="1154"/>
      <c r="O76" s="1154"/>
      <c r="P76" s="2681"/>
      <c r="Q76" s="559"/>
    </row>
    <row r="77" spans="1:17">
      <c r="A77" s="527" t="s">
        <v>2554</v>
      </c>
      <c r="B77" s="528" t="s">
        <v>2692</v>
      </c>
      <c r="C77" s="573" t="s">
        <v>2592</v>
      </c>
      <c r="D77" s="573" t="s">
        <v>2593</v>
      </c>
      <c r="E77" s="573" t="s">
        <v>2594</v>
      </c>
      <c r="F77" s="573" t="s">
        <v>2595</v>
      </c>
      <c r="G77" s="573" t="s">
        <v>2596</v>
      </c>
      <c r="H77" s="529"/>
      <c r="I77" s="529"/>
      <c r="J77" s="529"/>
      <c r="K77" s="574"/>
      <c r="L77" s="575"/>
      <c r="M77" s="576"/>
      <c r="N77" s="1152"/>
      <c r="O77" s="1152"/>
      <c r="P77" s="2684"/>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0"/>
      <c r="Q78" s="504"/>
    </row>
    <row r="79" spans="1:17" ht="15.75" thickTop="1">
      <c r="A79" s="534"/>
      <c r="B79" s="538" t="s">
        <v>2597</v>
      </c>
      <c r="C79" s="578" t="s">
        <v>2592</v>
      </c>
      <c r="D79" s="578" t="s">
        <v>2593</v>
      </c>
      <c r="E79" s="578" t="s">
        <v>2594</v>
      </c>
      <c r="F79" s="578" t="s">
        <v>2595</v>
      </c>
      <c r="G79" s="578" t="s">
        <v>2596</v>
      </c>
      <c r="H79" s="539"/>
      <c r="I79" s="539"/>
      <c r="J79" s="539"/>
      <c r="K79" s="540"/>
      <c r="L79" s="541"/>
      <c r="M79" s="542"/>
      <c r="N79" s="1152"/>
      <c r="O79" s="1152"/>
      <c r="P79" s="2680"/>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0"/>
      <c r="Q80" s="504"/>
    </row>
    <row r="81" spans="1:17" ht="15.75" thickTop="1">
      <c r="A81" s="534"/>
      <c r="B81" s="538" t="s">
        <v>2598</v>
      </c>
      <c r="C81" s="578" t="s">
        <v>2592</v>
      </c>
      <c r="D81" s="578" t="s">
        <v>2593</v>
      </c>
      <c r="E81" s="578" t="s">
        <v>2594</v>
      </c>
      <c r="F81" s="578" t="s">
        <v>2595</v>
      </c>
      <c r="G81" s="578" t="s">
        <v>2596</v>
      </c>
      <c r="H81" s="539"/>
      <c r="I81" s="539"/>
      <c r="J81" s="539"/>
      <c r="K81" s="540"/>
      <c r="L81" s="541"/>
      <c r="M81" s="542"/>
      <c r="N81" s="1152"/>
      <c r="O81" s="1152"/>
      <c r="P81" s="2680"/>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0"/>
      <c r="Q82" s="504"/>
    </row>
    <row r="83" spans="1:17" ht="15.75" thickTop="1">
      <c r="A83" s="534"/>
      <c r="B83" s="546" t="s">
        <v>2684</v>
      </c>
      <c r="C83" s="660" t="s">
        <v>2670</v>
      </c>
      <c r="D83" s="660" t="s">
        <v>2671</v>
      </c>
      <c r="E83" s="660" t="s">
        <v>2672</v>
      </c>
      <c r="F83" s="660" t="s">
        <v>2673</v>
      </c>
      <c r="G83" s="660" t="s">
        <v>2674</v>
      </c>
      <c r="H83" s="539"/>
      <c r="I83" s="539"/>
      <c r="J83" s="539"/>
      <c r="K83" s="539"/>
      <c r="L83" s="539"/>
      <c r="M83" s="1382"/>
      <c r="N83" s="1153"/>
      <c r="O83" s="1153"/>
      <c r="P83" s="2680"/>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0"/>
      <c r="Q84" s="504"/>
    </row>
    <row r="85" spans="1:17" ht="15.75" thickTop="1">
      <c r="A85" s="534"/>
      <c r="B85" s="538" t="s">
        <v>2693</v>
      </c>
      <c r="C85" s="578" t="s">
        <v>2592</v>
      </c>
      <c r="D85" s="578" t="s">
        <v>2593</v>
      </c>
      <c r="E85" s="578" t="s">
        <v>2594</v>
      </c>
      <c r="F85" s="578" t="s">
        <v>2595</v>
      </c>
      <c r="G85" s="578" t="s">
        <v>2596</v>
      </c>
      <c r="H85" s="539"/>
      <c r="I85" s="539"/>
      <c r="J85" s="539"/>
      <c r="K85" s="540"/>
      <c r="L85" s="541"/>
      <c r="M85" s="542"/>
      <c r="N85" s="1152"/>
      <c r="O85" s="1152"/>
      <c r="P85" s="2680"/>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0"/>
      <c r="Q86" s="504"/>
    </row>
    <row r="87" spans="1:17" s="117" customFormat="1" ht="27.75" thickTop="1">
      <c r="A87" s="579"/>
      <c r="B87" s="538" t="s">
        <v>2694</v>
      </c>
      <c r="C87" s="554"/>
      <c r="D87" s="554"/>
      <c r="E87" s="554"/>
      <c r="F87" s="554"/>
      <c r="G87" s="554"/>
      <c r="H87" s="554"/>
      <c r="I87" s="554"/>
      <c r="J87" s="554"/>
      <c r="K87" s="554"/>
      <c r="L87" s="580"/>
      <c r="M87" s="581"/>
      <c r="N87" s="1151"/>
      <c r="O87" s="1151"/>
      <c r="P87" s="2680"/>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0"/>
      <c r="Q88" s="504"/>
    </row>
    <row r="89" spans="1:17" s="117" customFormat="1" ht="15.75" thickTop="1">
      <c r="A89" s="579"/>
      <c r="B89" s="538" t="str">
        <f>B27</f>
        <v>楼层</v>
      </c>
      <c r="C89" s="554"/>
      <c r="D89" s="554"/>
      <c r="E89" s="554"/>
      <c r="F89" s="2631"/>
      <c r="G89" s="554"/>
      <c r="H89" s="554"/>
      <c r="I89" s="554"/>
      <c r="J89" s="554"/>
      <c r="K89" s="554"/>
      <c r="L89" s="554"/>
      <c r="M89" s="581"/>
      <c r="N89" s="1151"/>
      <c r="O89" s="1151"/>
      <c r="P89" s="2680"/>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0"/>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1"/>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1"/>
      <c r="Q92" s="559"/>
    </row>
    <row r="93" spans="1:17" ht="15.75" thickTop="1">
      <c r="A93" s="534"/>
      <c r="B93" s="538">
        <f>B29</f>
        <v>111</v>
      </c>
      <c r="C93" s="554"/>
      <c r="D93" s="554"/>
      <c r="E93" s="554"/>
      <c r="F93" s="554"/>
      <c r="G93" s="554"/>
      <c r="H93" s="554"/>
      <c r="I93" s="554"/>
      <c r="J93" s="554"/>
      <c r="K93" s="554"/>
      <c r="L93" s="580"/>
      <c r="M93" s="581"/>
      <c r="N93" s="1152"/>
      <c r="O93" s="1152"/>
      <c r="P93" s="2680"/>
      <c r="Q93" s="504"/>
    </row>
    <row r="94" spans="1:17" ht="15.75" thickBot="1">
      <c r="A94" s="534"/>
      <c r="B94" s="543"/>
      <c r="C94" s="560"/>
      <c r="D94" s="536"/>
      <c r="E94" s="536"/>
      <c r="F94" s="536"/>
      <c r="G94" s="536"/>
      <c r="H94" s="536"/>
      <c r="I94" s="536"/>
      <c r="J94" s="536"/>
      <c r="K94" s="536"/>
      <c r="L94" s="536"/>
      <c r="M94" s="537"/>
      <c r="N94" s="1153"/>
      <c r="O94" s="1153"/>
      <c r="P94" s="2680"/>
      <c r="Q94" s="504"/>
    </row>
    <row r="95" spans="1:17" ht="15.75" thickTop="1">
      <c r="A95" s="534"/>
      <c r="B95" s="538">
        <f>B30</f>
        <v>111</v>
      </c>
      <c r="C95" s="554"/>
      <c r="D95" s="554"/>
      <c r="E95" s="554"/>
      <c r="F95" s="554"/>
      <c r="G95" s="583"/>
      <c r="H95" s="583"/>
      <c r="I95" s="583"/>
      <c r="J95" s="583"/>
      <c r="K95" s="584"/>
      <c r="L95" s="585"/>
      <c r="M95" s="586"/>
      <c r="N95" s="1152"/>
      <c r="O95" s="1152"/>
      <c r="P95" s="2680"/>
      <c r="Q95" s="504"/>
    </row>
    <row r="96" spans="1:17" ht="15.75" thickBot="1">
      <c r="A96" s="534"/>
      <c r="B96" s="543"/>
      <c r="C96" s="560"/>
      <c r="D96" s="560"/>
      <c r="E96" s="560"/>
      <c r="F96" s="560"/>
      <c r="G96" s="536"/>
      <c r="H96" s="536"/>
      <c r="I96" s="536"/>
      <c r="J96" s="536"/>
      <c r="K96" s="536"/>
      <c r="L96" s="536"/>
      <c r="M96" s="537"/>
      <c r="N96" s="1153"/>
      <c r="O96" s="1153"/>
      <c r="P96" s="2680"/>
      <c r="Q96" s="504"/>
    </row>
    <row r="97" spans="1:17" ht="15.75" thickTop="1">
      <c r="A97" s="534"/>
      <c r="B97" s="538">
        <f>B31</f>
        <v>111</v>
      </c>
      <c r="C97" s="554"/>
      <c r="D97" s="554"/>
      <c r="E97" s="554"/>
      <c r="F97" s="554"/>
      <c r="G97" s="583"/>
      <c r="H97" s="583"/>
      <c r="I97" s="583"/>
      <c r="J97" s="583"/>
      <c r="K97" s="584"/>
      <c r="L97" s="585"/>
      <c r="M97" s="586"/>
      <c r="N97" s="1152"/>
      <c r="O97" s="1152"/>
      <c r="P97" s="2680"/>
      <c r="Q97" s="504"/>
    </row>
    <row r="98" spans="1:17" ht="15.75" thickBot="1">
      <c r="A98" s="534"/>
      <c r="B98" s="543"/>
      <c r="C98" s="560"/>
      <c r="D98" s="536"/>
      <c r="E98" s="536"/>
      <c r="F98" s="536"/>
      <c r="G98" s="536"/>
      <c r="H98" s="536"/>
      <c r="I98" s="536"/>
      <c r="J98" s="536"/>
      <c r="K98" s="536"/>
      <c r="L98" s="536"/>
      <c r="M98" s="537"/>
      <c r="N98" s="1153"/>
      <c r="O98" s="1153"/>
      <c r="P98" s="2680"/>
      <c r="Q98" s="504"/>
    </row>
    <row r="99" spans="1:17" ht="15.75" thickTop="1">
      <c r="A99" s="534"/>
      <c r="B99" s="546">
        <f>B32</f>
        <v>111</v>
      </c>
      <c r="C99" s="523"/>
      <c r="D99" s="523"/>
      <c r="E99" s="523"/>
      <c r="F99" s="523"/>
      <c r="G99" s="587"/>
      <c r="H99" s="587"/>
      <c r="I99" s="587"/>
      <c r="J99" s="587"/>
      <c r="K99" s="588"/>
      <c r="L99" s="589"/>
      <c r="M99" s="590"/>
      <c r="N99" s="1152"/>
      <c r="O99" s="1152"/>
      <c r="P99" s="2680"/>
      <c r="Q99" s="504"/>
    </row>
    <row r="100" spans="1:17" ht="15.75" thickBot="1">
      <c r="A100" s="2632"/>
      <c r="B100" s="569"/>
      <c r="C100" s="570"/>
      <c r="D100" s="570"/>
      <c r="E100" s="570"/>
      <c r="F100" s="570"/>
      <c r="G100" s="591"/>
      <c r="H100" s="591"/>
      <c r="I100" s="591"/>
      <c r="J100" s="591"/>
      <c r="K100" s="591"/>
      <c r="L100" s="591"/>
      <c r="M100" s="592"/>
      <c r="N100" s="1153"/>
      <c r="O100" s="1153"/>
      <c r="P100" s="2680"/>
      <c r="Q100" s="504"/>
    </row>
    <row r="101" spans="1:17">
      <c r="A101" s="527" t="s">
        <v>2558</v>
      </c>
      <c r="B101" s="528" t="s">
        <v>2607</v>
      </c>
      <c r="C101" s="530"/>
      <c r="D101" s="530"/>
      <c r="E101" s="530"/>
      <c r="F101" s="530"/>
      <c r="G101" s="530"/>
      <c r="H101" s="530"/>
      <c r="I101" s="530"/>
      <c r="J101" s="530"/>
      <c r="K101" s="531"/>
      <c r="L101" s="532"/>
      <c r="M101" s="533"/>
      <c r="N101" s="1152"/>
      <c r="O101" s="1152"/>
      <c r="P101" s="2680"/>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0"/>
      <c r="Q102" s="504"/>
    </row>
    <row r="103" spans="1:17" ht="15.75" thickTop="1">
      <c r="A103" s="534"/>
      <c r="B103" s="538" t="s">
        <v>2608</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0"/>
      <c r="Q103" s="504"/>
    </row>
    <row r="104" spans="1:17" s="471" customFormat="1">
      <c r="A104" s="593"/>
      <c r="B104" s="594"/>
      <c r="C104" s="595"/>
      <c r="D104" s="595"/>
      <c r="E104" s="595"/>
      <c r="F104" s="595"/>
      <c r="G104" s="595"/>
      <c r="H104" s="595"/>
      <c r="I104" s="595"/>
      <c r="J104" s="596"/>
      <c r="K104" s="596"/>
      <c r="L104" s="597"/>
      <c r="M104" s="598"/>
      <c r="N104" s="1154"/>
      <c r="O104" s="1154"/>
      <c r="P104" s="2681"/>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1"/>
      <c r="Q105" s="559"/>
    </row>
    <row r="106" spans="1:17" ht="15" thickTop="1">
      <c r="A106" s="599"/>
      <c r="B106" s="538" t="s">
        <v>2609</v>
      </c>
      <c r="C106" s="554"/>
      <c r="D106" s="554"/>
      <c r="E106" s="583"/>
      <c r="F106" s="583"/>
      <c r="G106" s="583"/>
      <c r="H106" s="583"/>
      <c r="I106" s="583"/>
      <c r="J106" s="583"/>
      <c r="K106" s="584"/>
      <c r="L106" s="585"/>
      <c r="M106" s="586"/>
      <c r="N106" s="1152"/>
      <c r="O106" s="1152"/>
      <c r="P106" s="2680"/>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0"/>
      <c r="Q107" s="504"/>
    </row>
    <row r="108" spans="1:17" ht="15" thickTop="1">
      <c r="A108" s="599"/>
      <c r="B108" s="538" t="s">
        <v>2611</v>
      </c>
      <c r="C108" s="554"/>
      <c r="D108" s="554"/>
      <c r="E108" s="554"/>
      <c r="F108" s="583"/>
      <c r="G108" s="583"/>
      <c r="H108" s="583"/>
      <c r="I108" s="583"/>
      <c r="J108" s="583"/>
      <c r="K108" s="584"/>
      <c r="L108" s="585"/>
      <c r="M108" s="586"/>
      <c r="N108" s="1152"/>
      <c r="O108" s="1152"/>
      <c r="P108" s="2680"/>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0"/>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0"/>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0"/>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0"/>
      <c r="Q112" s="504"/>
    </row>
    <row r="113" spans="1:17" s="471" customFormat="1" ht="15" thickTop="1">
      <c r="A113" s="593"/>
      <c r="B113" s="538" t="s">
        <v>2695</v>
      </c>
      <c r="C113" s="554"/>
      <c r="D113" s="554"/>
      <c r="E113" s="554"/>
      <c r="F113" s="554"/>
      <c r="G113" s="554"/>
      <c r="H113" s="583"/>
      <c r="I113" s="583"/>
      <c r="J113" s="583"/>
      <c r="K113" s="584"/>
      <c r="L113" s="585"/>
      <c r="M113" s="586"/>
      <c r="N113" s="1154"/>
      <c r="O113" s="1154"/>
      <c r="P113" s="2681"/>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1"/>
      <c r="Q114" s="559"/>
    </row>
    <row r="115" spans="1:17" ht="15" thickTop="1">
      <c r="A115" s="599"/>
      <c r="B115" s="538" t="s">
        <v>2612</v>
      </c>
      <c r="C115" s="554"/>
      <c r="D115" s="554"/>
      <c r="E115" s="583"/>
      <c r="F115" s="583"/>
      <c r="G115" s="583"/>
      <c r="H115" s="583"/>
      <c r="I115" s="583"/>
      <c r="J115" s="583"/>
      <c r="K115" s="584"/>
      <c r="L115" s="585"/>
      <c r="M115" s="586"/>
      <c r="N115" s="1152"/>
      <c r="O115" s="1152"/>
      <c r="P115" s="2680"/>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0"/>
      <c r="Q116" s="504"/>
    </row>
    <row r="117" spans="1:17" ht="15" thickTop="1">
      <c r="A117" s="599"/>
      <c r="B117" s="538" t="s">
        <v>2613</v>
      </c>
      <c r="C117" s="554"/>
      <c r="D117" s="554"/>
      <c r="E117" s="554"/>
      <c r="F117" s="554"/>
      <c r="G117" s="554"/>
      <c r="H117" s="583"/>
      <c r="I117" s="583"/>
      <c r="J117" s="583"/>
      <c r="K117" s="584"/>
      <c r="L117" s="585"/>
      <c r="M117" s="586"/>
      <c r="N117" s="1152"/>
      <c r="O117" s="1152"/>
      <c r="P117" s="2680"/>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0"/>
      <c r="Q118" s="504"/>
    </row>
    <row r="119" spans="1:17" ht="15" thickTop="1">
      <c r="A119" s="599"/>
      <c r="B119" s="636" t="s">
        <v>2696</v>
      </c>
      <c r="C119" s="583"/>
      <c r="D119" s="583"/>
      <c r="E119" s="583"/>
      <c r="F119" s="583"/>
      <c r="G119" s="583"/>
      <c r="H119" s="583"/>
      <c r="I119" s="583"/>
      <c r="J119" s="583"/>
      <c r="K119" s="583"/>
      <c r="L119" s="2685"/>
      <c r="M119" s="2686"/>
      <c r="N119" s="1153"/>
      <c r="O119" s="1153"/>
      <c r="P119" s="2687"/>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0"/>
      <c r="Q120" s="504"/>
    </row>
    <row r="121" spans="1:17" s="471" customFormat="1" ht="15" thickTop="1">
      <c r="A121" s="593"/>
      <c r="B121" s="538" t="s">
        <v>2679</v>
      </c>
      <c r="C121" s="554"/>
      <c r="D121" s="554"/>
      <c r="E121" s="554"/>
      <c r="F121" s="583"/>
      <c r="G121" s="555"/>
      <c r="H121" s="555"/>
      <c r="I121" s="555"/>
      <c r="J121" s="555"/>
      <c r="K121" s="555"/>
      <c r="L121" s="556"/>
      <c r="M121" s="557"/>
      <c r="N121" s="1154"/>
      <c r="O121" s="1154"/>
      <c r="P121" s="2681"/>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1"/>
      <c r="Q122" s="559"/>
    </row>
    <row r="123" spans="1:17" ht="15" thickTop="1">
      <c r="A123" s="599"/>
      <c r="B123" s="538" t="s">
        <v>2615</v>
      </c>
      <c r="C123" s="554"/>
      <c r="D123" s="554"/>
      <c r="E123" s="554"/>
      <c r="F123" s="583"/>
      <c r="G123" s="583"/>
      <c r="H123" s="583"/>
      <c r="I123" s="583"/>
      <c r="J123" s="583"/>
      <c r="K123" s="584"/>
      <c r="L123" s="585"/>
      <c r="M123" s="586"/>
      <c r="N123" s="1152"/>
      <c r="O123" s="1152"/>
      <c r="P123" s="2680"/>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0"/>
      <c r="Q124" s="504"/>
    </row>
    <row r="125" spans="1:17" ht="15" thickTop="1">
      <c r="A125" s="599"/>
      <c r="B125" s="538" t="s">
        <v>2616</v>
      </c>
      <c r="C125" s="578" t="s">
        <v>2592</v>
      </c>
      <c r="D125" s="578" t="s">
        <v>2593</v>
      </c>
      <c r="E125" s="578" t="s">
        <v>2594</v>
      </c>
      <c r="F125" s="578" t="s">
        <v>2595</v>
      </c>
      <c r="G125" s="578" t="s">
        <v>2596</v>
      </c>
      <c r="H125" s="539"/>
      <c r="I125" s="539"/>
      <c r="J125" s="539"/>
      <c r="K125" s="540"/>
      <c r="L125" s="541"/>
      <c r="M125" s="542"/>
      <c r="N125" s="1152"/>
      <c r="O125" s="1152"/>
      <c r="P125" s="2681"/>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0"/>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1"/>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1"/>
      <c r="Q128" s="559"/>
    </row>
    <row r="129" spans="1:17" ht="15" thickTop="1">
      <c r="A129" s="599"/>
      <c r="B129" s="538">
        <f>B46</f>
        <v>111</v>
      </c>
      <c r="C129" s="554"/>
      <c r="D129" s="554"/>
      <c r="E129" s="554"/>
      <c r="F129" s="554"/>
      <c r="G129" s="583"/>
      <c r="H129" s="583"/>
      <c r="I129" s="583"/>
      <c r="J129" s="583"/>
      <c r="K129" s="584"/>
      <c r="L129" s="585"/>
      <c r="M129" s="586"/>
      <c r="N129" s="1152"/>
      <c r="O129" s="1152"/>
      <c r="P129" s="2680"/>
      <c r="Q129" s="504"/>
    </row>
    <row r="130" spans="1:17" ht="15.75" thickBot="1">
      <c r="A130" s="534"/>
      <c r="B130" s="543"/>
      <c r="C130" s="560"/>
      <c r="D130" s="560"/>
      <c r="E130" s="560"/>
      <c r="F130" s="560"/>
      <c r="G130" s="536"/>
      <c r="H130" s="536"/>
      <c r="I130" s="536"/>
      <c r="J130" s="536"/>
      <c r="K130" s="536"/>
      <c r="L130" s="536"/>
      <c r="M130" s="537"/>
      <c r="N130" s="1153"/>
      <c r="O130" s="1153"/>
      <c r="P130" s="2680"/>
      <c r="Q130" s="504"/>
    </row>
    <row r="131" spans="1:17" ht="15" thickTop="1">
      <c r="A131" s="599"/>
      <c r="B131" s="546">
        <f>B47</f>
        <v>111</v>
      </c>
      <c r="C131" s="523"/>
      <c r="D131" s="523"/>
      <c r="E131" s="523"/>
      <c r="F131" s="523"/>
      <c r="G131" s="587"/>
      <c r="H131" s="587"/>
      <c r="I131" s="587"/>
      <c r="J131" s="587"/>
      <c r="K131" s="523"/>
      <c r="L131" s="524"/>
      <c r="M131" s="590"/>
      <c r="N131" s="1152"/>
      <c r="O131" s="1152"/>
      <c r="P131" s="2680"/>
      <c r="Q131" s="504"/>
    </row>
    <row r="132" spans="1:17" ht="15.75" thickBot="1">
      <c r="A132" s="2632"/>
      <c r="B132" s="569"/>
      <c r="C132" s="570"/>
      <c r="D132" s="570"/>
      <c r="E132" s="570"/>
      <c r="F132" s="570"/>
      <c r="G132" s="591"/>
      <c r="H132" s="591"/>
      <c r="I132" s="591"/>
      <c r="J132" s="591"/>
      <c r="K132" s="591"/>
      <c r="L132" s="591"/>
      <c r="M132" s="592"/>
      <c r="N132" s="1153"/>
      <c r="O132" s="1153"/>
      <c r="P132" s="2680"/>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88" priority="16" stopIfTrue="1" operator="containsText" text="超过">
      <formula>NOT(ISERROR(SEARCH("超过",F53)))</formula>
    </cfRule>
  </conditionalFormatting>
  <conditionalFormatting sqref="H55">
    <cfRule type="containsText" dxfId="87" priority="15" stopIfTrue="1" operator="containsText" text="超过">
      <formula>NOT(ISERROR(SEARCH("超过",H55)))</formula>
    </cfRule>
  </conditionalFormatting>
  <conditionalFormatting sqref="F55">
    <cfRule type="containsText" dxfId="86" priority="14" stopIfTrue="1" operator="containsText" text="超过">
      <formula>NOT(ISERROR(SEARCH("超过",F55)))</formula>
    </cfRule>
  </conditionalFormatting>
  <conditionalFormatting sqref="F54 H54">
    <cfRule type="containsText" dxfId="85" priority="13" stopIfTrue="1" operator="containsText" text="超过">
      <formula>NOT(ISERROR(SEARCH("超过",F54)))</formula>
    </cfRule>
  </conditionalFormatting>
  <conditionalFormatting sqref="E53">
    <cfRule type="expression" dxfId="84" priority="12" stopIfTrue="1">
      <formula>$F$53="超过30%"</formula>
    </cfRule>
  </conditionalFormatting>
  <conditionalFormatting sqref="E54">
    <cfRule type="expression" dxfId="83" priority="11" stopIfTrue="1">
      <formula>$F$54="超过20%"</formula>
    </cfRule>
  </conditionalFormatting>
  <conditionalFormatting sqref="E55">
    <cfRule type="expression" dxfId="82" priority="10" stopIfTrue="1">
      <formula>$F$55="超过30%"</formula>
    </cfRule>
  </conditionalFormatting>
  <conditionalFormatting sqref="G55">
    <cfRule type="expression" dxfId="81" priority="9" stopIfTrue="1">
      <formula>$H$55="超过30%"</formula>
    </cfRule>
  </conditionalFormatting>
  <conditionalFormatting sqref="G53">
    <cfRule type="expression" dxfId="80" priority="8" stopIfTrue="1">
      <formula>$H$53="超过30%"</formula>
    </cfRule>
  </conditionalFormatting>
  <conditionalFormatting sqref="G54">
    <cfRule type="expression" dxfId="79" priority="7" stopIfTrue="1">
      <formula>$H$54="超过20%"</formula>
    </cfRule>
  </conditionalFormatting>
  <conditionalFormatting sqref="J53">
    <cfRule type="containsText" dxfId="78" priority="6" stopIfTrue="1" operator="containsText" text="超过">
      <formula>NOT(ISERROR(SEARCH("超过",J53)))</formula>
    </cfRule>
  </conditionalFormatting>
  <conditionalFormatting sqref="J55">
    <cfRule type="containsText" dxfId="77" priority="5" stopIfTrue="1" operator="containsText" text="超过">
      <formula>NOT(ISERROR(SEARCH("超过",J55)))</formula>
    </cfRule>
  </conditionalFormatting>
  <conditionalFormatting sqref="J54">
    <cfRule type="containsText" dxfId="76" priority="4" stopIfTrue="1" operator="containsText" text="超过">
      <formula>NOT(ISERROR(SEARCH("超过",J54)))</formula>
    </cfRule>
  </conditionalFormatting>
  <conditionalFormatting sqref="I53">
    <cfRule type="expression" dxfId="75" priority="3" stopIfTrue="1">
      <formula>$J$53="超过30%"</formula>
    </cfRule>
  </conditionalFormatting>
  <conditionalFormatting sqref="I54">
    <cfRule type="expression" dxfId="74" priority="2" stopIfTrue="1">
      <formula>$J$53+$J$54="超过20%"</formula>
    </cfRule>
  </conditionalFormatting>
  <conditionalFormatting sqref="I55">
    <cfRule type="expression" dxfId="7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2523</v>
      </c>
      <c r="B1" s="2665" t="s">
        <v>2697</v>
      </c>
      <c r="C1" s="1620" t="s">
        <v>2525</v>
      </c>
      <c r="D1" s="1621"/>
      <c r="E1" s="1630"/>
      <c r="F1" s="2582"/>
      <c r="G1" s="1631" t="s">
        <v>2638</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2325</v>
      </c>
      <c r="B2" s="1418" t="e">
        <f ca="1">IF(C2="——",ROUND(C43*D3/10000,0),ROUND(C43*D3/10000,0)-D2)</f>
        <v>#DIV/0!</v>
      </c>
      <c r="C2" s="2584"/>
      <c r="D2" s="1124" t="e">
        <f ca="1">SUMIF(INDIRECT("'"&amp;F2&amp;"'"&amp;"!A:A"),"承租人权益价值",INDIRECT("'"&amp;F2&amp;"'"&amp;"!c:c"))</f>
        <v>#REF!</v>
      </c>
      <c r="E2" s="2585" t="s">
        <v>2326</v>
      </c>
      <c r="F2" s="2586"/>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2327</v>
      </c>
      <c r="B3" s="609" t="e">
        <f ca="1">IF(C2="——",C43,ROUND(B2*10000/D3,0))</f>
        <v>#DIV/0!</v>
      </c>
      <c r="C3" s="400" t="s">
        <v>2639</v>
      </c>
      <c r="D3" s="399">
        <f>IF(D1="",'数据-汇总表'!E3,SUMIF('数据-汇总表'!$C19:$C33,D1,'数据-汇总表'!$E19:$E33))</f>
        <v>117348.15999999993</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2640</v>
      </c>
      <c r="B4" s="402"/>
      <c r="C4" s="3317" t="s">
        <v>2641</v>
      </c>
      <c r="D4" s="3330"/>
      <c r="E4" s="3331" t="s">
        <v>2642</v>
      </c>
      <c r="F4" s="3332"/>
      <c r="G4" s="3317" t="s">
        <v>2643</v>
      </c>
      <c r="H4" s="3330"/>
      <c r="I4" s="3317" t="s">
        <v>2644</v>
      </c>
      <c r="J4" s="3330"/>
      <c r="K4" s="610" t="s">
        <v>2645</v>
      </c>
      <c r="L4" s="1130"/>
      <c r="M4" s="1131"/>
      <c r="N4" s="1131"/>
      <c r="O4" s="1131"/>
      <c r="P4" s="3333" t="s">
        <v>2646</v>
      </c>
      <c r="Q4" s="3334"/>
      <c r="R4" s="3339" t="s">
        <v>2642</v>
      </c>
      <c r="S4" s="3340"/>
      <c r="T4" s="3339" t="s">
        <v>2643</v>
      </c>
      <c r="U4" s="3340"/>
      <c r="V4" s="3326" t="s">
        <v>2644</v>
      </c>
      <c r="W4" s="3326"/>
      <c r="X4" s="1813"/>
      <c r="Y4" s="3339" t="s">
        <v>2646</v>
      </c>
      <c r="Z4" s="3340"/>
      <c r="AA4" s="3327" t="s">
        <v>2642</v>
      </c>
      <c r="AB4" s="3328" t="s">
        <v>2643</v>
      </c>
      <c r="AC4" s="3327" t="s">
        <v>2644</v>
      </c>
    </row>
    <row r="5" spans="1:29" ht="15">
      <c r="A5" s="404"/>
      <c r="B5" s="405"/>
      <c r="C5" s="3424" t="s">
        <v>2537</v>
      </c>
      <c r="D5" s="3348"/>
      <c r="E5" s="3426" t="s">
        <v>2538</v>
      </c>
      <c r="F5" s="3355"/>
      <c r="G5" s="3424" t="s">
        <v>2539</v>
      </c>
      <c r="H5" s="3348"/>
      <c r="I5" s="3424" t="s">
        <v>2540</v>
      </c>
      <c r="J5" s="3348"/>
      <c r="K5" s="610"/>
      <c r="L5" s="1130"/>
      <c r="M5" s="1131"/>
      <c r="N5" s="1131"/>
      <c r="O5" s="1131"/>
      <c r="P5" s="3335"/>
      <c r="Q5" s="3336"/>
      <c r="R5" s="3341"/>
      <c r="S5" s="3342"/>
      <c r="T5" s="3341"/>
      <c r="U5" s="3342"/>
      <c r="V5" s="3326"/>
      <c r="W5" s="3326"/>
      <c r="X5" s="1813"/>
      <c r="Y5" s="3341"/>
      <c r="Z5" s="3342"/>
      <c r="AA5" s="3328"/>
      <c r="AB5" s="3328"/>
      <c r="AC5" s="3328"/>
    </row>
    <row r="6" spans="1:29" ht="15.75" thickBot="1">
      <c r="A6" s="406"/>
      <c r="B6" s="407"/>
      <c r="C6" s="3423" t="s">
        <v>2541</v>
      </c>
      <c r="D6" s="3346"/>
      <c r="E6" s="3425" t="s">
        <v>2541</v>
      </c>
      <c r="F6" s="3353"/>
      <c r="G6" s="3423" t="s">
        <v>2541</v>
      </c>
      <c r="H6" s="3346"/>
      <c r="I6" s="3423" t="s">
        <v>2541</v>
      </c>
      <c r="J6" s="3346"/>
      <c r="K6" s="610" t="s">
        <v>2542</v>
      </c>
      <c r="L6" s="1130"/>
      <c r="M6" s="1131"/>
      <c r="N6" s="1131"/>
      <c r="O6" s="1131"/>
      <c r="P6" s="3337"/>
      <c r="Q6" s="3338"/>
      <c r="R6" s="3341"/>
      <c r="S6" s="3342"/>
      <c r="T6" s="3343"/>
      <c r="U6" s="3344"/>
      <c r="V6" s="3326"/>
      <c r="W6" s="3326"/>
      <c r="X6" s="1813"/>
      <c r="Y6" s="3343"/>
      <c r="Z6" s="3344"/>
      <c r="AA6" s="3329"/>
      <c r="AB6" s="3329"/>
      <c r="AC6" s="3329"/>
    </row>
    <row r="7" spans="1:29" s="117" customFormat="1" ht="15.75" thickBot="1">
      <c r="A7" s="408" t="s">
        <v>2543</v>
      </c>
      <c r="B7" s="409"/>
      <c r="C7" s="410">
        <f>'数据-取费表'!B2</f>
        <v>43111</v>
      </c>
      <c r="D7" s="411">
        <v>100</v>
      </c>
      <c r="E7" s="412"/>
      <c r="F7" s="413">
        <f>SUMIF(52:52,YEAR(E7)&amp;"-"&amp;MONTH(E7),53:53)</f>
        <v>0</v>
      </c>
      <c r="G7" s="412"/>
      <c r="H7" s="411">
        <f>SUMIF(52:52,YEAR(G7)&amp;"-"&amp;MONTH(G7),53:53)</f>
        <v>0</v>
      </c>
      <c r="I7" s="412"/>
      <c r="J7" s="411">
        <f>SUMIF(52:52,YEAR(I7)&amp;"-"&amp;MONTH(I7),53:53)</f>
        <v>0</v>
      </c>
      <c r="K7" s="611"/>
      <c r="L7" s="1132"/>
      <c r="M7" s="1133"/>
      <c r="N7" s="1133"/>
      <c r="O7" s="1133"/>
      <c r="P7" s="3349" t="s">
        <v>2544</v>
      </c>
      <c r="Q7" s="3351"/>
      <c r="R7" s="770" t="s">
        <v>17</v>
      </c>
      <c r="S7" s="771">
        <f t="shared" ref="S7:S15" si="0">F7</f>
        <v>0</v>
      </c>
      <c r="T7" s="770" t="s">
        <v>17</v>
      </c>
      <c r="U7" s="771">
        <f t="shared" ref="U7:U15" si="1">H7</f>
        <v>0</v>
      </c>
      <c r="V7" s="770" t="s">
        <v>17</v>
      </c>
      <c r="W7" s="771">
        <f t="shared" ref="W7:W15" si="2">J7</f>
        <v>0</v>
      </c>
      <c r="X7" s="772"/>
      <c r="Y7" s="3349" t="s">
        <v>2544</v>
      </c>
      <c r="Z7" s="3350"/>
      <c r="AA7" s="773" t="e">
        <f>D7/F7</f>
        <v>#DIV/0!</v>
      </c>
      <c r="AB7" s="773" t="e">
        <f>D7/H7</f>
        <v>#DIV/0!</v>
      </c>
      <c r="AC7" s="773" t="e">
        <f>D7/J7</f>
        <v>#DIV/0!</v>
      </c>
    </row>
    <row r="8" spans="1:29" s="117" customFormat="1" ht="15.75" thickBot="1">
      <c r="A8" s="408" t="s">
        <v>2545</v>
      </c>
      <c r="B8" s="409"/>
      <c r="C8" s="414" t="s">
        <v>2546</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349" t="s">
        <v>2547</v>
      </c>
      <c r="Q8" s="3350"/>
      <c r="R8" s="770" t="s">
        <v>17</v>
      </c>
      <c r="S8" s="771">
        <f t="shared" si="0"/>
        <v>0</v>
      </c>
      <c r="T8" s="770" t="s">
        <v>17</v>
      </c>
      <c r="U8" s="771">
        <f t="shared" si="1"/>
        <v>0</v>
      </c>
      <c r="V8" s="770" t="s">
        <v>17</v>
      </c>
      <c r="W8" s="771">
        <f t="shared" si="2"/>
        <v>0</v>
      </c>
      <c r="X8" s="772"/>
      <c r="Y8" s="3349" t="s">
        <v>2547</v>
      </c>
      <c r="Z8" s="3350"/>
      <c r="AA8" s="773" t="e">
        <f t="shared" ref="AA8:AA40" si="3">D8/F8</f>
        <v>#DIV/0!</v>
      </c>
      <c r="AB8" s="773" t="e">
        <f t="shared" ref="AB8:AB40" si="4">D8/H8</f>
        <v>#DIV/0!</v>
      </c>
      <c r="AC8" s="773" t="e">
        <f t="shared" ref="AC8:AC40" si="5">D8/J8</f>
        <v>#DIV/0!</v>
      </c>
    </row>
    <row r="9" spans="1:29" s="117" customFormat="1">
      <c r="A9" s="415" t="s">
        <v>2548</v>
      </c>
      <c r="B9" s="71" t="s">
        <v>2549</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320" t="s">
        <v>2550</v>
      </c>
      <c r="Q9" s="1795" t="str">
        <f t="shared" ref="Q9:Q15" si="6">B9</f>
        <v>用途</v>
      </c>
      <c r="R9" s="770" t="s">
        <v>17</v>
      </c>
      <c r="S9" s="771">
        <f t="shared" si="0"/>
        <v>100</v>
      </c>
      <c r="T9" s="770" t="s">
        <v>17</v>
      </c>
      <c r="U9" s="771">
        <f t="shared" si="1"/>
        <v>100</v>
      </c>
      <c r="V9" s="770" t="s">
        <v>17</v>
      </c>
      <c r="W9" s="771">
        <f t="shared" si="2"/>
        <v>100</v>
      </c>
      <c r="X9" s="772"/>
      <c r="Y9" s="3151" t="s">
        <v>2551</v>
      </c>
      <c r="Z9" s="55" t="str">
        <f t="shared" ref="Z9:Z15" si="7">Q9</f>
        <v>用途</v>
      </c>
      <c r="AA9" s="773">
        <f t="shared" si="3"/>
        <v>1</v>
      </c>
      <c r="AB9" s="773">
        <f t="shared" si="4"/>
        <v>1</v>
      </c>
      <c r="AC9" s="773">
        <f t="shared" si="5"/>
        <v>1</v>
      </c>
    </row>
    <row r="10" spans="1:29" s="427" customFormat="1" ht="27">
      <c r="A10" s="421"/>
      <c r="B10" s="422" t="s">
        <v>2552</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320"/>
      <c r="Q10" s="1795" t="str">
        <f t="shared" si="6"/>
        <v>土地使用年限（年）</v>
      </c>
      <c r="R10" s="770" t="s">
        <v>17</v>
      </c>
      <c r="S10" s="771">
        <f t="shared" si="0"/>
        <v>100</v>
      </c>
      <c r="T10" s="770" t="s">
        <v>17</v>
      </c>
      <c r="U10" s="771">
        <f t="shared" si="1"/>
        <v>100</v>
      </c>
      <c r="V10" s="770" t="s">
        <v>17</v>
      </c>
      <c r="W10" s="771">
        <f t="shared" si="2"/>
        <v>100</v>
      </c>
      <c r="X10" s="772"/>
      <c r="Y10" s="3151"/>
      <c r="Z10" s="55" t="str">
        <f t="shared" si="7"/>
        <v>土地使用年限（年）</v>
      </c>
      <c r="AA10" s="773">
        <f t="shared" si="3"/>
        <v>1</v>
      </c>
      <c r="AB10" s="773">
        <f t="shared" si="4"/>
        <v>1</v>
      </c>
      <c r="AC10" s="773">
        <f t="shared" si="5"/>
        <v>1</v>
      </c>
    </row>
    <row r="11" spans="1:29" ht="15">
      <c r="A11" s="428"/>
      <c r="B11" s="422" t="s">
        <v>2553</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320"/>
      <c r="Q11" s="1795" t="str">
        <f t="shared" si="6"/>
        <v>容积率</v>
      </c>
      <c r="R11" s="770" t="s">
        <v>17</v>
      </c>
      <c r="S11" s="771" t="e">
        <f t="shared" si="0"/>
        <v>#N/A</v>
      </c>
      <c r="T11" s="770" t="s">
        <v>17</v>
      </c>
      <c r="U11" s="771" t="e">
        <f t="shared" si="1"/>
        <v>#N/A</v>
      </c>
      <c r="V11" s="770" t="s">
        <v>17</v>
      </c>
      <c r="W11" s="771" t="e">
        <f t="shared" si="2"/>
        <v>#N/A</v>
      </c>
      <c r="X11" s="772"/>
      <c r="Y11" s="3151"/>
      <c r="Z11" s="55" t="str">
        <f t="shared" si="7"/>
        <v>容积率</v>
      </c>
      <c r="AA11" s="773" t="e">
        <f t="shared" si="3"/>
        <v>#N/A</v>
      </c>
      <c r="AB11" s="773" t="e">
        <f t="shared" si="4"/>
        <v>#N/A</v>
      </c>
      <c r="AC11" s="773" t="e">
        <f t="shared" si="5"/>
        <v>#N/A</v>
      </c>
    </row>
    <row r="12" spans="1:29" s="117" customFormat="1" ht="15">
      <c r="A12" s="431"/>
      <c r="B12" s="2597">
        <v>111</v>
      </c>
      <c r="C12" s="432"/>
      <c r="D12" s="433">
        <v>100</v>
      </c>
      <c r="E12" s="434"/>
      <c r="F12" s="136">
        <f>SUMIF(64:64,E12,65:65)-SUMIF(64:64,C12,65:65)+100</f>
        <v>100</v>
      </c>
      <c r="G12" s="2688"/>
      <c r="H12" s="136">
        <f>SUMIF(64:64,G12,65:65)-SUMIF(64:64,C12,65:65)+100</f>
        <v>100</v>
      </c>
      <c r="I12" s="469"/>
      <c r="J12" s="136">
        <f>SUMIF(64:64,I12,65:65)-SUMIF(64:64,C12,65:65)+100</f>
        <v>100</v>
      </c>
      <c r="K12" s="613"/>
      <c r="L12" s="1132"/>
      <c r="M12" s="1133"/>
      <c r="N12" s="1133"/>
      <c r="O12" s="1134"/>
      <c r="P12" s="3320"/>
      <c r="Q12" s="1795">
        <f t="shared" si="6"/>
        <v>111</v>
      </c>
      <c r="R12" s="770" t="s">
        <v>17</v>
      </c>
      <c r="S12" s="771">
        <f t="shared" si="0"/>
        <v>100</v>
      </c>
      <c r="T12" s="770" t="s">
        <v>17</v>
      </c>
      <c r="U12" s="771">
        <f t="shared" si="1"/>
        <v>100</v>
      </c>
      <c r="V12" s="770" t="s">
        <v>17</v>
      </c>
      <c r="W12" s="771">
        <f t="shared" si="2"/>
        <v>100</v>
      </c>
      <c r="X12" s="772"/>
      <c r="Y12" s="3151"/>
      <c r="Z12" s="55">
        <f t="shared" si="7"/>
        <v>111</v>
      </c>
      <c r="AA12" s="773">
        <f>D12/F12</f>
        <v>1</v>
      </c>
      <c r="AB12" s="773">
        <f>D12/H12</f>
        <v>1</v>
      </c>
      <c r="AC12" s="773">
        <f>D12/J12</f>
        <v>1</v>
      </c>
    </row>
    <row r="13" spans="1:29" ht="15">
      <c r="A13" s="428"/>
      <c r="B13" s="2597">
        <v>111</v>
      </c>
      <c r="C13" s="434"/>
      <c r="D13" s="435">
        <v>100</v>
      </c>
      <c r="E13" s="434"/>
      <c r="F13" s="136">
        <f>SUMIF(66:66,E13,67:67)-SUMIF(66:66,C13,67:67)+100</f>
        <v>100</v>
      </c>
      <c r="G13" s="2688"/>
      <c r="H13" s="435">
        <f>SUMIF(66:66,G13,67:67)-SUMIF(66:66,C13,67:67)+100</f>
        <v>100</v>
      </c>
      <c r="I13" s="469"/>
      <c r="J13" s="435">
        <f>SUMIF(66:66,I13,67:67)-SUMIF(66:66,C13,67:67)+100</f>
        <v>100</v>
      </c>
      <c r="K13" s="613"/>
      <c r="L13" s="1140"/>
      <c r="M13" s="1131"/>
      <c r="N13" s="1131"/>
      <c r="O13" s="1139"/>
      <c r="P13" s="3320"/>
      <c r="Q13" s="1795">
        <f t="shared" si="6"/>
        <v>111</v>
      </c>
      <c r="R13" s="770" t="s">
        <v>17</v>
      </c>
      <c r="S13" s="771">
        <f t="shared" si="0"/>
        <v>100</v>
      </c>
      <c r="T13" s="770" t="s">
        <v>17</v>
      </c>
      <c r="U13" s="771">
        <f t="shared" si="1"/>
        <v>100</v>
      </c>
      <c r="V13" s="770" t="s">
        <v>17</v>
      </c>
      <c r="W13" s="771">
        <f t="shared" si="2"/>
        <v>100</v>
      </c>
      <c r="X13" s="772"/>
      <c r="Y13" s="3151"/>
      <c r="Z13" s="55">
        <f t="shared" si="7"/>
        <v>111</v>
      </c>
      <c r="AA13" s="773">
        <f t="shared" si="3"/>
        <v>1</v>
      </c>
      <c r="AB13" s="773">
        <f t="shared" si="4"/>
        <v>1</v>
      </c>
      <c r="AC13" s="773">
        <f t="shared" si="5"/>
        <v>1</v>
      </c>
    </row>
    <row r="14" spans="1:29" ht="15.75" thickBot="1">
      <c r="A14" s="436"/>
      <c r="B14" s="2599">
        <v>111</v>
      </c>
      <c r="C14" s="437"/>
      <c r="D14" s="438">
        <v>100</v>
      </c>
      <c r="E14" s="437"/>
      <c r="F14" s="438">
        <f>SUMIF(68:68,E14,69:69)-SUMIF(68:68,C14,69:69)+100</f>
        <v>100</v>
      </c>
      <c r="G14" s="2688"/>
      <c r="H14" s="438">
        <f>SUMIF(68:68,G14,69:69)-SUMIF(68:68,C14,69:69)+100</f>
        <v>100</v>
      </c>
      <c r="I14" s="469"/>
      <c r="J14" s="438">
        <f>SUMIF(68:68,I14,69:69)-SUMIF(68:68,C14,69:69)+100</f>
        <v>100</v>
      </c>
      <c r="K14" s="613"/>
      <c r="L14" s="1140"/>
      <c r="M14" s="1131"/>
      <c r="N14" s="1131"/>
      <c r="O14" s="1139"/>
      <c r="P14" s="3320"/>
      <c r="Q14" s="1795">
        <f t="shared" si="6"/>
        <v>111</v>
      </c>
      <c r="R14" s="770" t="s">
        <v>17</v>
      </c>
      <c r="S14" s="771">
        <f t="shared" si="0"/>
        <v>100</v>
      </c>
      <c r="T14" s="770" t="s">
        <v>17</v>
      </c>
      <c r="U14" s="771">
        <f t="shared" si="1"/>
        <v>100</v>
      </c>
      <c r="V14" s="770" t="s">
        <v>17</v>
      </c>
      <c r="W14" s="771">
        <f t="shared" si="2"/>
        <v>100</v>
      </c>
      <c r="X14" s="772"/>
      <c r="Y14" s="3151"/>
      <c r="Z14" s="55">
        <f t="shared" si="7"/>
        <v>111</v>
      </c>
      <c r="AA14" s="773">
        <f t="shared" si="3"/>
        <v>1</v>
      </c>
      <c r="AB14" s="773">
        <f t="shared" si="4"/>
        <v>1</v>
      </c>
      <c r="AC14" s="773">
        <f t="shared" si="5"/>
        <v>1</v>
      </c>
    </row>
    <row r="15" spans="1:29" ht="57">
      <c r="A15" s="440" t="s">
        <v>2554</v>
      </c>
      <c r="B15" s="69" t="s">
        <v>2698</v>
      </c>
      <c r="C15" s="2689"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322" t="s">
        <v>2555</v>
      </c>
      <c r="Q15" s="1810" t="str">
        <f t="shared" si="6"/>
        <v>产业集聚程度</v>
      </c>
      <c r="R15" s="774" t="s">
        <v>17</v>
      </c>
      <c r="S15" s="775">
        <f t="shared" si="0"/>
        <v>100</v>
      </c>
      <c r="T15" s="774" t="s">
        <v>17</v>
      </c>
      <c r="U15" s="775">
        <f t="shared" si="1"/>
        <v>100</v>
      </c>
      <c r="V15" s="774" t="s">
        <v>17</v>
      </c>
      <c r="W15" s="775">
        <f t="shared" si="2"/>
        <v>100</v>
      </c>
      <c r="X15" s="1813"/>
      <c r="Y15" s="3322" t="s">
        <v>2555</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323"/>
      <c r="Q16" s="1810"/>
      <c r="R16" s="774"/>
      <c r="S16" s="775"/>
      <c r="T16" s="774"/>
      <c r="U16" s="775"/>
      <c r="V16" s="774"/>
      <c r="W16" s="775"/>
      <c r="X16" s="1813"/>
      <c r="Y16" s="3323"/>
      <c r="Z16" s="1814"/>
      <c r="AA16" s="1811">
        <v>1</v>
      </c>
      <c r="AB16" s="1811">
        <v>1</v>
      </c>
      <c r="AC16" s="1811">
        <v>1</v>
      </c>
    </row>
    <row r="17" spans="1:29" ht="85.5">
      <c r="A17" s="428"/>
      <c r="B17" s="451" t="s">
        <v>2094</v>
      </c>
      <c r="C17" s="2604"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323"/>
      <c r="Q17" s="1810" t="str">
        <f>B17</f>
        <v>交通便捷度</v>
      </c>
      <c r="R17" s="774" t="s">
        <v>17</v>
      </c>
      <c r="S17" s="775">
        <f>F17</f>
        <v>100</v>
      </c>
      <c r="T17" s="774" t="s">
        <v>17</v>
      </c>
      <c r="U17" s="775">
        <f>H17</f>
        <v>100</v>
      </c>
      <c r="V17" s="774" t="s">
        <v>17</v>
      </c>
      <c r="W17" s="775">
        <f>J17</f>
        <v>100</v>
      </c>
      <c r="X17" s="1813"/>
      <c r="Y17" s="3323"/>
      <c r="Z17" s="1814" t="str">
        <f>Q17</f>
        <v>交通便捷度</v>
      </c>
      <c r="AA17" s="1811">
        <f t="shared" si="3"/>
        <v>1</v>
      </c>
      <c r="AB17" s="1811">
        <f t="shared" si="4"/>
        <v>1</v>
      </c>
      <c r="AC17" s="1811">
        <f t="shared" si="5"/>
        <v>1</v>
      </c>
    </row>
    <row r="18" spans="1:29" ht="15">
      <c r="A18" s="428"/>
      <c r="B18" s="456"/>
      <c r="C18" s="2605"/>
      <c r="D18" s="450"/>
      <c r="E18" s="2607"/>
      <c r="F18" s="453"/>
      <c r="G18" s="2606"/>
      <c r="H18" s="448"/>
      <c r="I18" s="2607"/>
      <c r="J18" s="448"/>
      <c r="K18" s="615"/>
      <c r="L18" s="1140"/>
      <c r="M18" s="1131"/>
      <c r="N18" s="1131"/>
      <c r="O18" s="1139"/>
      <c r="P18" s="3323"/>
      <c r="Q18" s="1810"/>
      <c r="R18" s="774"/>
      <c r="S18" s="775"/>
      <c r="T18" s="774"/>
      <c r="U18" s="775"/>
      <c r="V18" s="774"/>
      <c r="W18" s="775"/>
      <c r="X18" s="1813"/>
      <c r="Y18" s="3323"/>
      <c r="Z18" s="1814"/>
      <c r="AA18" s="1811">
        <v>1</v>
      </c>
      <c r="AB18" s="1811">
        <v>1</v>
      </c>
      <c r="AC18" s="1811">
        <v>1</v>
      </c>
    </row>
    <row r="19" spans="1:29" ht="42.75">
      <c r="A19" s="428"/>
      <c r="B19" s="451" t="s">
        <v>2683</v>
      </c>
      <c r="C19" s="2604"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323"/>
      <c r="Q19" s="1810" t="str">
        <f>B19</f>
        <v>公共配套设施</v>
      </c>
      <c r="R19" s="774" t="s">
        <v>17</v>
      </c>
      <c r="S19" s="775">
        <f>F19</f>
        <v>100</v>
      </c>
      <c r="T19" s="774" t="s">
        <v>17</v>
      </c>
      <c r="U19" s="775">
        <f>H19</f>
        <v>100</v>
      </c>
      <c r="V19" s="774" t="s">
        <v>17</v>
      </c>
      <c r="W19" s="775">
        <f>J19</f>
        <v>100</v>
      </c>
      <c r="X19" s="1813"/>
      <c r="Y19" s="3323"/>
      <c r="Z19" s="1814" t="str">
        <f>Q19</f>
        <v>公共配套设施</v>
      </c>
      <c r="AA19" s="1811">
        <f t="shared" si="3"/>
        <v>1</v>
      </c>
      <c r="AB19" s="1811">
        <f t="shared" si="4"/>
        <v>1</v>
      </c>
      <c r="AC19" s="1811">
        <f t="shared" si="5"/>
        <v>1</v>
      </c>
    </row>
    <row r="20" spans="1:29" ht="15">
      <c r="A20" s="428"/>
      <c r="B20" s="456"/>
      <c r="C20" s="447"/>
      <c r="D20" s="448"/>
      <c r="E20" s="2602"/>
      <c r="F20" s="449"/>
      <c r="G20" s="2601"/>
      <c r="H20" s="448"/>
      <c r="I20" s="2602"/>
      <c r="J20" s="448"/>
      <c r="K20" s="615"/>
      <c r="L20" s="1140"/>
      <c r="M20" s="1131"/>
      <c r="N20" s="1131"/>
      <c r="O20" s="1139"/>
      <c r="P20" s="3323"/>
      <c r="Q20" s="1810"/>
      <c r="R20" s="774"/>
      <c r="S20" s="775"/>
      <c r="T20" s="774"/>
      <c r="U20" s="775"/>
      <c r="V20" s="774"/>
      <c r="W20" s="775"/>
      <c r="X20" s="1813"/>
      <c r="Y20" s="3323"/>
      <c r="Z20" s="1814"/>
      <c r="AA20" s="1811">
        <v>1</v>
      </c>
      <c r="AB20" s="1811">
        <v>1</v>
      </c>
      <c r="AC20" s="1811">
        <v>1</v>
      </c>
    </row>
    <row r="21" spans="1:29" ht="28.5">
      <c r="A21" s="428"/>
      <c r="B21" s="1384" t="s">
        <v>2684</v>
      </c>
      <c r="C21" s="2604"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323"/>
      <c r="Q21" s="1810" t="str">
        <f>B21</f>
        <v>基础设施水平</v>
      </c>
      <c r="R21" s="774" t="s">
        <v>17</v>
      </c>
      <c r="S21" s="775">
        <f>F21</f>
        <v>100</v>
      </c>
      <c r="T21" s="774" t="s">
        <v>17</v>
      </c>
      <c r="U21" s="775">
        <f>H21</f>
        <v>100</v>
      </c>
      <c r="V21" s="774" t="s">
        <v>17</v>
      </c>
      <c r="W21" s="775">
        <f>J21</f>
        <v>100</v>
      </c>
      <c r="X21" s="1813"/>
      <c r="Y21" s="3323"/>
      <c r="Z21" s="1814" t="str">
        <f>Q21</f>
        <v>基础设施水平</v>
      </c>
      <c r="AA21" s="1811">
        <f t="shared" ref="AA21" si="8">D21/F21</f>
        <v>1</v>
      </c>
      <c r="AB21" s="1811">
        <f t="shared" ref="AB21" si="9">D21/H21</f>
        <v>1</v>
      </c>
      <c r="AC21" s="1811">
        <f t="shared" ref="AC21" si="10">D21/J21</f>
        <v>1</v>
      </c>
    </row>
    <row r="22" spans="1:29" ht="15">
      <c r="A22" s="428"/>
      <c r="B22" s="1384"/>
      <c r="C22" s="2605"/>
      <c r="D22" s="448"/>
      <c r="E22" s="447"/>
      <c r="F22" s="449"/>
      <c r="G22" s="447"/>
      <c r="H22" s="448"/>
      <c r="I22" s="447"/>
      <c r="J22" s="448"/>
      <c r="K22" s="1383"/>
      <c r="L22" s="1140"/>
      <c r="M22" s="1131"/>
      <c r="N22" s="1131"/>
      <c r="O22" s="1139"/>
      <c r="P22" s="3323"/>
      <c r="Q22" s="1810"/>
      <c r="R22" s="774"/>
      <c r="S22" s="775"/>
      <c r="T22" s="774"/>
      <c r="U22" s="775"/>
      <c r="V22" s="774"/>
      <c r="W22" s="775"/>
      <c r="X22" s="1813"/>
      <c r="Y22" s="3323"/>
      <c r="Z22" s="1814"/>
      <c r="AA22" s="1811">
        <v>1</v>
      </c>
      <c r="AB22" s="1811">
        <v>1</v>
      </c>
      <c r="AC22" s="1811">
        <v>1</v>
      </c>
    </row>
    <row r="23" spans="1:29" ht="71.25">
      <c r="A23" s="428"/>
      <c r="B23" s="451" t="s">
        <v>2685</v>
      </c>
      <c r="C23" s="2604"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323"/>
      <c r="Q23" s="1810" t="str">
        <f>B23</f>
        <v>环境质量</v>
      </c>
      <c r="R23" s="774" t="s">
        <v>17</v>
      </c>
      <c r="S23" s="775">
        <f>F23</f>
        <v>100</v>
      </c>
      <c r="T23" s="774" t="s">
        <v>17</v>
      </c>
      <c r="U23" s="775">
        <f>H23</f>
        <v>100</v>
      </c>
      <c r="V23" s="774" t="s">
        <v>17</v>
      </c>
      <c r="W23" s="775">
        <f>J23</f>
        <v>100</v>
      </c>
      <c r="X23" s="1813"/>
      <c r="Y23" s="3323"/>
      <c r="Z23" s="1814" t="str">
        <f>Q23</f>
        <v>环境质量</v>
      </c>
      <c r="AA23" s="1811">
        <f t="shared" si="3"/>
        <v>1</v>
      </c>
      <c r="AB23" s="1811">
        <f t="shared" si="4"/>
        <v>1</v>
      </c>
      <c r="AC23" s="1811">
        <f t="shared" si="5"/>
        <v>1</v>
      </c>
    </row>
    <row r="24" spans="1:29" ht="15">
      <c r="A24" s="428"/>
      <c r="B24" s="1384"/>
      <c r="C24" s="447"/>
      <c r="D24" s="448"/>
      <c r="E24" s="2602"/>
      <c r="F24" s="449"/>
      <c r="G24" s="2601"/>
      <c r="H24" s="448"/>
      <c r="I24" s="2602"/>
      <c r="J24" s="448"/>
      <c r="K24" s="615"/>
      <c r="L24" s="1140"/>
      <c r="M24" s="1131"/>
      <c r="N24" s="1131"/>
      <c r="O24" s="1139"/>
      <c r="P24" s="3323"/>
      <c r="Q24" s="1810"/>
      <c r="R24" s="774"/>
      <c r="S24" s="775"/>
      <c r="T24" s="774"/>
      <c r="U24" s="775"/>
      <c r="V24" s="774"/>
      <c r="W24" s="775"/>
      <c r="X24" s="1813"/>
      <c r="Y24" s="3323"/>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323"/>
      <c r="Q25" s="1810">
        <f>B25</f>
        <v>111</v>
      </c>
      <c r="R25" s="774" t="s">
        <v>17</v>
      </c>
      <c r="S25" s="775">
        <f>F25</f>
        <v>100</v>
      </c>
      <c r="T25" s="774" t="s">
        <v>17</v>
      </c>
      <c r="U25" s="775">
        <f>H25</f>
        <v>100</v>
      </c>
      <c r="V25" s="774" t="s">
        <v>17</v>
      </c>
      <c r="W25" s="775">
        <f>J25</f>
        <v>100</v>
      </c>
      <c r="X25" s="1813"/>
      <c r="Y25" s="3323"/>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323"/>
      <c r="Q26" s="1810">
        <f t="shared" ref="Q26:Q40" si="11">B26</f>
        <v>111</v>
      </c>
      <c r="R26" s="774" t="s">
        <v>17</v>
      </c>
      <c r="S26" s="775">
        <f>F26</f>
        <v>100</v>
      </c>
      <c r="T26" s="774" t="s">
        <v>17</v>
      </c>
      <c r="U26" s="775">
        <f>H26</f>
        <v>100</v>
      </c>
      <c r="V26" s="774" t="s">
        <v>17</v>
      </c>
      <c r="W26" s="775">
        <f>J26</f>
        <v>100</v>
      </c>
      <c r="X26" s="1813"/>
      <c r="Y26" s="3323"/>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323"/>
      <c r="Q27" s="1795">
        <f t="shared" si="11"/>
        <v>111</v>
      </c>
      <c r="R27" s="770" t="s">
        <v>17</v>
      </c>
      <c r="S27" s="771">
        <f>F27</f>
        <v>100</v>
      </c>
      <c r="T27" s="770" t="s">
        <v>17</v>
      </c>
      <c r="U27" s="771">
        <f>H27</f>
        <v>100</v>
      </c>
      <c r="V27" s="770" t="s">
        <v>17</v>
      </c>
      <c r="W27" s="771">
        <f>J27</f>
        <v>100</v>
      </c>
      <c r="X27" s="772"/>
      <c r="Y27" s="3323"/>
      <c r="Z27" s="55">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323"/>
      <c r="Q28" s="1810">
        <f t="shared" si="11"/>
        <v>111</v>
      </c>
      <c r="R28" s="774" t="s">
        <v>17</v>
      </c>
      <c r="S28" s="775">
        <f t="shared" ref="S28:S40" si="12">F28</f>
        <v>100</v>
      </c>
      <c r="T28" s="774" t="s">
        <v>17</v>
      </c>
      <c r="U28" s="775">
        <f t="shared" ref="U28:U40" si="13">H28</f>
        <v>100</v>
      </c>
      <c r="V28" s="774" t="s">
        <v>17</v>
      </c>
      <c r="W28" s="775">
        <f t="shared" ref="W28:W40" si="14">J28</f>
        <v>100</v>
      </c>
      <c r="X28" s="1813"/>
      <c r="Y28" s="3323"/>
      <c r="Z28" s="1814">
        <f t="shared" ref="Z28:Z40" si="15">Q28</f>
        <v>111</v>
      </c>
      <c r="AA28" s="1811">
        <f t="shared" si="3"/>
        <v>1</v>
      </c>
      <c r="AB28" s="1811">
        <f t="shared" si="4"/>
        <v>1</v>
      </c>
      <c r="AC28" s="1811">
        <f t="shared" si="5"/>
        <v>1</v>
      </c>
    </row>
    <row r="29" spans="1:29" ht="15">
      <c r="A29" s="466" t="s">
        <v>2558</v>
      </c>
      <c r="B29" s="71" t="s">
        <v>2688</v>
      </c>
      <c r="C29" s="2675"/>
      <c r="D29" s="467">
        <v>100</v>
      </c>
      <c r="E29" s="2675"/>
      <c r="F29" s="461">
        <f>SUMIF(88:88,E29,89:89)-SUMIF(88:88,C29,89:89)+100</f>
        <v>100</v>
      </c>
      <c r="G29" s="2675"/>
      <c r="H29" s="435">
        <f>SUMIF(88:88,G29,89:89)-SUMIF(88:88,C29,89:89)+100</f>
        <v>100</v>
      </c>
      <c r="I29" s="2675"/>
      <c r="J29" s="467">
        <f>SUMIF(88:88,I29,89:89)-SUMIF(88:88,C29,89:89)+100</f>
        <v>100</v>
      </c>
      <c r="K29" s="612"/>
      <c r="L29" s="1140"/>
      <c r="M29" s="1131"/>
      <c r="N29" s="1131"/>
      <c r="O29" s="1139"/>
      <c r="P29" s="3324" t="s">
        <v>2560</v>
      </c>
      <c r="Q29" s="1810" t="str">
        <f t="shared" si="11"/>
        <v>建筑类型</v>
      </c>
      <c r="R29" s="774" t="s">
        <v>17</v>
      </c>
      <c r="S29" s="775">
        <f t="shared" si="12"/>
        <v>100</v>
      </c>
      <c r="T29" s="774" t="s">
        <v>17</v>
      </c>
      <c r="U29" s="775">
        <f t="shared" si="13"/>
        <v>100</v>
      </c>
      <c r="V29" s="774" t="s">
        <v>17</v>
      </c>
      <c r="W29" s="775">
        <f t="shared" si="14"/>
        <v>100</v>
      </c>
      <c r="X29" s="1813"/>
      <c r="Y29" s="3325" t="s">
        <v>2560</v>
      </c>
      <c r="Z29" s="1814" t="str">
        <f t="shared" si="15"/>
        <v>建筑类型</v>
      </c>
      <c r="AA29" s="1811">
        <f t="shared" si="3"/>
        <v>1</v>
      </c>
      <c r="AB29" s="1811">
        <f t="shared" si="4"/>
        <v>1</v>
      </c>
      <c r="AC29" s="1811">
        <f t="shared" si="5"/>
        <v>1</v>
      </c>
    </row>
    <row r="30" spans="1:29" s="471" customFormat="1" ht="15">
      <c r="A30" s="468"/>
      <c r="B30" s="422" t="s">
        <v>2561</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325"/>
      <c r="Q30" s="776" t="str">
        <f t="shared" si="11"/>
        <v>项目建筑规模</v>
      </c>
      <c r="R30" s="777" t="s">
        <v>17</v>
      </c>
      <c r="S30" s="778" t="e">
        <f t="shared" si="12"/>
        <v>#N/A</v>
      </c>
      <c r="T30" s="777" t="s">
        <v>17</v>
      </c>
      <c r="U30" s="778" t="e">
        <f t="shared" si="13"/>
        <v>#N/A</v>
      </c>
      <c r="V30" s="777" t="s">
        <v>17</v>
      </c>
      <c r="W30" s="778" t="e">
        <f t="shared" si="14"/>
        <v>#N/A</v>
      </c>
      <c r="X30" s="779"/>
      <c r="Y30" s="3325"/>
      <c r="Z30" s="780" t="str">
        <f t="shared" si="15"/>
        <v>项目建筑规模</v>
      </c>
      <c r="AA30" s="1811" t="e">
        <f t="shared" si="3"/>
        <v>#N/A</v>
      </c>
      <c r="AB30" s="1811" t="e">
        <f t="shared" si="4"/>
        <v>#N/A</v>
      </c>
      <c r="AC30" s="1811" t="e">
        <f t="shared" si="5"/>
        <v>#N/A</v>
      </c>
    </row>
    <row r="31" spans="1:29" ht="15">
      <c r="A31" s="472"/>
      <c r="B31" s="422" t="s">
        <v>2562</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325"/>
      <c r="Q31" s="1810" t="str">
        <f t="shared" si="11"/>
        <v>建筑结构</v>
      </c>
      <c r="R31" s="774" t="s">
        <v>17</v>
      </c>
      <c r="S31" s="775">
        <f t="shared" si="12"/>
        <v>100</v>
      </c>
      <c r="T31" s="774" t="s">
        <v>17</v>
      </c>
      <c r="U31" s="775">
        <f t="shared" si="13"/>
        <v>100</v>
      </c>
      <c r="V31" s="774" t="s">
        <v>17</v>
      </c>
      <c r="W31" s="775">
        <f t="shared" si="14"/>
        <v>100</v>
      </c>
      <c r="X31" s="1813"/>
      <c r="Y31" s="3325"/>
      <c r="Z31" s="1814" t="str">
        <f t="shared" si="15"/>
        <v>建筑结构</v>
      </c>
      <c r="AA31" s="1811">
        <f t="shared" si="3"/>
        <v>1</v>
      </c>
      <c r="AB31" s="1811">
        <f t="shared" si="4"/>
        <v>1</v>
      </c>
      <c r="AC31" s="1811">
        <f t="shared" si="5"/>
        <v>1</v>
      </c>
    </row>
    <row r="32" spans="1:29" ht="15">
      <c r="A32" s="472"/>
      <c r="B32" s="422" t="s">
        <v>2656</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325"/>
      <c r="Q32" s="1810" t="str">
        <f t="shared" si="11"/>
        <v>公共部分装修</v>
      </c>
      <c r="R32" s="774" t="s">
        <v>17</v>
      </c>
      <c r="S32" s="775">
        <f t="shared" si="12"/>
        <v>100</v>
      </c>
      <c r="T32" s="774" t="s">
        <v>17</v>
      </c>
      <c r="U32" s="775">
        <f t="shared" si="13"/>
        <v>100</v>
      </c>
      <c r="V32" s="774" t="s">
        <v>17</v>
      </c>
      <c r="W32" s="775">
        <f t="shared" si="14"/>
        <v>100</v>
      </c>
      <c r="X32" s="1813"/>
      <c r="Y32" s="3325"/>
      <c r="Z32" s="1814" t="str">
        <f t="shared" si="15"/>
        <v>公共部分装修</v>
      </c>
      <c r="AA32" s="1811">
        <f t="shared" si="3"/>
        <v>1</v>
      </c>
      <c r="AB32" s="1811">
        <f t="shared" si="4"/>
        <v>1</v>
      </c>
      <c r="AC32" s="1811">
        <f t="shared" si="5"/>
        <v>1</v>
      </c>
    </row>
    <row r="33" spans="1:29" ht="15">
      <c r="A33" s="472"/>
      <c r="B33" s="422" t="s">
        <v>2657</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325"/>
      <c r="Q33" s="1810" t="str">
        <f t="shared" si="11"/>
        <v>成新度</v>
      </c>
      <c r="R33" s="774" t="s">
        <v>17</v>
      </c>
      <c r="S33" s="775" t="e">
        <f t="shared" si="12"/>
        <v>#N/A</v>
      </c>
      <c r="T33" s="774" t="s">
        <v>17</v>
      </c>
      <c r="U33" s="775" t="e">
        <f t="shared" si="13"/>
        <v>#N/A</v>
      </c>
      <c r="V33" s="774" t="s">
        <v>17</v>
      </c>
      <c r="W33" s="775" t="e">
        <f t="shared" si="14"/>
        <v>#N/A</v>
      </c>
      <c r="X33" s="1813"/>
      <c r="Y33" s="3325"/>
      <c r="Z33" s="1814" t="str">
        <f t="shared" si="15"/>
        <v>成新度</v>
      </c>
      <c r="AA33" s="1811" t="e">
        <f t="shared" si="3"/>
        <v>#N/A</v>
      </c>
      <c r="AB33" s="1811" t="e">
        <f t="shared" si="4"/>
        <v>#N/A</v>
      </c>
      <c r="AC33" s="1811" t="e">
        <f t="shared" si="5"/>
        <v>#N/A</v>
      </c>
    </row>
    <row r="34" spans="1:29" s="117" customFormat="1" ht="15">
      <c r="A34" s="473"/>
      <c r="B34" s="422" t="s">
        <v>2690</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325"/>
      <c r="Q34" s="1795" t="str">
        <f t="shared" si="11"/>
        <v>物业管理</v>
      </c>
      <c r="R34" s="770" t="s">
        <v>17</v>
      </c>
      <c r="S34" s="771">
        <f t="shared" si="12"/>
        <v>100</v>
      </c>
      <c r="T34" s="770" t="s">
        <v>17</v>
      </c>
      <c r="U34" s="771">
        <f t="shared" si="13"/>
        <v>100</v>
      </c>
      <c r="V34" s="770" t="s">
        <v>17</v>
      </c>
      <c r="W34" s="771">
        <f t="shared" si="14"/>
        <v>100</v>
      </c>
      <c r="X34" s="772"/>
      <c r="Y34" s="3325"/>
      <c r="Z34" s="55" t="str">
        <f t="shared" si="15"/>
        <v>物业管理</v>
      </c>
      <c r="AA34" s="773">
        <f t="shared" si="3"/>
        <v>1</v>
      </c>
      <c r="AB34" s="773">
        <f t="shared" si="4"/>
        <v>1</v>
      </c>
      <c r="AC34" s="773">
        <f t="shared" si="5"/>
        <v>1</v>
      </c>
    </row>
    <row r="35" spans="1:29" ht="15">
      <c r="A35" s="472"/>
      <c r="B35" s="422" t="s">
        <v>2658</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325" t="s">
        <v>2560</v>
      </c>
      <c r="Q35" s="1810" t="str">
        <f t="shared" si="11"/>
        <v>市政基础设施</v>
      </c>
      <c r="R35" s="774" t="s">
        <v>17</v>
      </c>
      <c r="S35" s="775">
        <f t="shared" si="12"/>
        <v>100</v>
      </c>
      <c r="T35" s="774" t="s">
        <v>17</v>
      </c>
      <c r="U35" s="775">
        <f t="shared" si="13"/>
        <v>100</v>
      </c>
      <c r="V35" s="774" t="s">
        <v>17</v>
      </c>
      <c r="W35" s="775">
        <f t="shared" si="14"/>
        <v>100</v>
      </c>
      <c r="X35" s="1813"/>
      <c r="Y35" s="3325" t="s">
        <v>2560</v>
      </c>
      <c r="Z35" s="1814" t="str">
        <f t="shared" si="15"/>
        <v>市政基础设施</v>
      </c>
      <c r="AA35" s="1811">
        <f t="shared" si="3"/>
        <v>1</v>
      </c>
      <c r="AB35" s="1811">
        <f t="shared" si="4"/>
        <v>1</v>
      </c>
      <c r="AC35" s="1811">
        <f t="shared" si="5"/>
        <v>1</v>
      </c>
    </row>
    <row r="36" spans="1:29" ht="15">
      <c r="A36" s="472"/>
      <c r="B36" s="422" t="s">
        <v>2663</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325"/>
      <c r="Q36" s="1810" t="str">
        <f t="shared" si="11"/>
        <v>内部装修</v>
      </c>
      <c r="R36" s="774" t="s">
        <v>17</v>
      </c>
      <c r="S36" s="775">
        <f t="shared" si="12"/>
        <v>100</v>
      </c>
      <c r="T36" s="774" t="s">
        <v>17</v>
      </c>
      <c r="U36" s="775">
        <f t="shared" si="13"/>
        <v>100</v>
      </c>
      <c r="V36" s="774" t="s">
        <v>17</v>
      </c>
      <c r="W36" s="775">
        <f t="shared" si="14"/>
        <v>100</v>
      </c>
      <c r="X36" s="1813"/>
      <c r="Y36" s="3325"/>
      <c r="Z36" s="1814" t="str">
        <f t="shared" si="15"/>
        <v>内部装修</v>
      </c>
      <c r="AA36" s="1811">
        <f t="shared" si="3"/>
        <v>1</v>
      </c>
      <c r="AB36" s="1811">
        <f t="shared" si="4"/>
        <v>1</v>
      </c>
      <c r="AC36" s="1811">
        <f t="shared" si="5"/>
        <v>1</v>
      </c>
    </row>
    <row r="37" spans="1:29" ht="15">
      <c r="A37" s="472"/>
      <c r="B37" s="422" t="s">
        <v>2699</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325"/>
      <c r="Q37" s="1810" t="str">
        <f t="shared" si="11"/>
        <v>内部装修状况</v>
      </c>
      <c r="R37" s="774" t="s">
        <v>17</v>
      </c>
      <c r="S37" s="775">
        <f t="shared" si="12"/>
        <v>100</v>
      </c>
      <c r="T37" s="774" t="s">
        <v>17</v>
      </c>
      <c r="U37" s="775">
        <f t="shared" si="13"/>
        <v>100</v>
      </c>
      <c r="V37" s="774" t="s">
        <v>17</v>
      </c>
      <c r="W37" s="775">
        <f t="shared" si="14"/>
        <v>100</v>
      </c>
      <c r="X37" s="1813"/>
      <c r="Y37" s="3325"/>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325"/>
      <c r="Q38" s="776">
        <f t="shared" si="11"/>
        <v>111</v>
      </c>
      <c r="R38" s="777" t="s">
        <v>17</v>
      </c>
      <c r="S38" s="778">
        <f t="shared" si="12"/>
        <v>100</v>
      </c>
      <c r="T38" s="777" t="s">
        <v>17</v>
      </c>
      <c r="U38" s="778">
        <f t="shared" si="13"/>
        <v>100</v>
      </c>
      <c r="V38" s="777" t="s">
        <v>17</v>
      </c>
      <c r="W38" s="778">
        <f t="shared" si="14"/>
        <v>100</v>
      </c>
      <c r="X38" s="779"/>
      <c r="Y38" s="3325"/>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325"/>
      <c r="Q39" s="1810">
        <f t="shared" si="11"/>
        <v>111</v>
      </c>
      <c r="R39" s="774" t="s">
        <v>17</v>
      </c>
      <c r="S39" s="775">
        <f t="shared" si="12"/>
        <v>100</v>
      </c>
      <c r="T39" s="774" t="s">
        <v>17</v>
      </c>
      <c r="U39" s="775">
        <f t="shared" si="13"/>
        <v>100</v>
      </c>
      <c r="V39" s="774" t="s">
        <v>17</v>
      </c>
      <c r="W39" s="775">
        <f t="shared" si="14"/>
        <v>100</v>
      </c>
      <c r="X39" s="1813"/>
      <c r="Y39" s="3325"/>
      <c r="Z39" s="1814">
        <f t="shared" si="15"/>
        <v>111</v>
      </c>
      <c r="AA39" s="1811">
        <f t="shared" si="3"/>
        <v>1</v>
      </c>
      <c r="AB39" s="1811">
        <f t="shared" si="4"/>
        <v>1</v>
      </c>
      <c r="AC39" s="1811">
        <f t="shared" si="5"/>
        <v>1</v>
      </c>
    </row>
    <row r="40" spans="1:29" ht="15.75" thickBot="1">
      <c r="A40" s="478"/>
      <c r="B40" s="2599">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391"/>
      <c r="Q40" s="1810">
        <f t="shared" si="11"/>
        <v>111</v>
      </c>
      <c r="R40" s="774" t="s">
        <v>17</v>
      </c>
      <c r="S40" s="775">
        <f t="shared" si="12"/>
        <v>100</v>
      </c>
      <c r="T40" s="774" t="s">
        <v>17</v>
      </c>
      <c r="U40" s="775">
        <f t="shared" si="13"/>
        <v>100</v>
      </c>
      <c r="V40" s="774" t="s">
        <v>17</v>
      </c>
      <c r="W40" s="775">
        <f t="shared" si="14"/>
        <v>100</v>
      </c>
      <c r="X40" s="1813"/>
      <c r="Y40" s="3391"/>
      <c r="Z40" s="1814">
        <f t="shared" si="15"/>
        <v>111</v>
      </c>
      <c r="AA40" s="1811">
        <f t="shared" si="3"/>
        <v>1</v>
      </c>
      <c r="AB40" s="1811">
        <f t="shared" si="4"/>
        <v>1</v>
      </c>
      <c r="AC40" s="1811">
        <f t="shared" si="5"/>
        <v>1</v>
      </c>
    </row>
    <row r="41" spans="1:29" ht="15">
      <c r="A41" s="479" t="s">
        <v>2572</v>
      </c>
      <c r="B41" s="480"/>
      <c r="C41" s="1407" t="s">
        <v>1</v>
      </c>
      <c r="D41" s="1408"/>
      <c r="E41" s="1409"/>
      <c r="F41" s="1410"/>
      <c r="G41" s="1411"/>
      <c r="H41" s="1412"/>
      <c r="I41" s="1409"/>
      <c r="J41" s="1412"/>
      <c r="K41" s="783"/>
      <c r="L41" s="1143"/>
      <c r="M41" s="1144"/>
      <c r="N41" s="1131"/>
      <c r="O41" s="1144"/>
      <c r="P41" s="3320" t="str">
        <f>A41</f>
        <v>成交单价（元/平方米）</v>
      </c>
      <c r="Q41" s="3320"/>
      <c r="R41" s="3387">
        <f>E41</f>
        <v>0</v>
      </c>
      <c r="S41" s="3387"/>
      <c r="T41" s="3387">
        <f>G41</f>
        <v>0</v>
      </c>
      <c r="U41" s="3387"/>
      <c r="V41" s="3387">
        <f>I41</f>
        <v>0</v>
      </c>
      <c r="W41" s="3387"/>
      <c r="X41" s="759"/>
      <c r="Y41" s="781"/>
      <c r="Z41" s="759"/>
      <c r="AA41" s="759"/>
      <c r="AB41" s="759"/>
      <c r="AC41" s="759"/>
    </row>
    <row r="42" spans="1:29" ht="15.75" thickBot="1">
      <c r="A42" s="486" t="s">
        <v>2664</v>
      </c>
      <c r="B42" s="487"/>
      <c r="C42" s="1413" t="e">
        <f>R43</f>
        <v>#DIV/0!</v>
      </c>
      <c r="D42" s="1414"/>
      <c r="E42" s="1415" t="e">
        <f>R42</f>
        <v>#DIV/0!</v>
      </c>
      <c r="F42" s="1415"/>
      <c r="G42" s="1413" t="e">
        <f>T42</f>
        <v>#DIV/0!</v>
      </c>
      <c r="H42" s="1414"/>
      <c r="I42" s="1415" t="e">
        <f>V42</f>
        <v>#DIV/0!</v>
      </c>
      <c r="J42" s="1414"/>
      <c r="K42" s="784"/>
      <c r="L42" s="1143"/>
      <c r="M42" s="1144"/>
      <c r="N42" s="1131"/>
      <c r="O42" s="1144"/>
      <c r="P42" s="3320" t="str">
        <f>A42</f>
        <v>比较价值（元/平方米）</v>
      </c>
      <c r="Q42" s="3320"/>
      <c r="R42" s="3387" t="e">
        <f>IF(F1="售价",ROUND(PRODUCT(R41,AA7:AA40),0),ROUND(PRODUCT(R41,AA7:AA40),1))</f>
        <v>#DIV/0!</v>
      </c>
      <c r="S42" s="3387"/>
      <c r="T42" s="3387" t="e">
        <f>IF(F1="售价",ROUND(PRODUCT(T41,AB7:AB40),0),ROUND(PRODUCT(T41,AB7:AB40),1))</f>
        <v>#DIV/0!</v>
      </c>
      <c r="U42" s="3387"/>
      <c r="V42" s="3387" t="e">
        <f>IF(F1="售价",ROUND(PRODUCT(V41,AC7:AC40),0),ROUND(PRODUCT(V41,AC7:AC40),1))</f>
        <v>#DIV/0!</v>
      </c>
      <c r="W42" s="3387"/>
      <c r="X42" s="759"/>
      <c r="Y42" s="759"/>
      <c r="Z42" s="759"/>
      <c r="AA42" s="759"/>
      <c r="AB42" s="759"/>
      <c r="AC42" s="759"/>
    </row>
    <row r="43" spans="1:29" ht="15.75" thickBot="1">
      <c r="A43" s="492" t="s">
        <v>2665</v>
      </c>
      <c r="B43" s="493"/>
      <c r="C43" s="1417" t="e">
        <f>R43</f>
        <v>#DIV/0!</v>
      </c>
      <c r="D43" s="1417"/>
      <c r="E43" s="1417"/>
      <c r="F43" s="1417"/>
      <c r="G43" s="1417"/>
      <c r="H43" s="1417"/>
      <c r="I43" s="1417"/>
      <c r="J43" s="1417"/>
      <c r="K43" s="785"/>
      <c r="L43" s="1143"/>
      <c r="M43" s="1144"/>
      <c r="N43" s="1144"/>
      <c r="O43" s="1144"/>
      <c r="P43" s="3314" t="str">
        <f>A43</f>
        <v>估价对象XX用房的比较价值（楼面单价，元/平方米）</v>
      </c>
      <c r="Q43" s="3315"/>
      <c r="R43" s="3386" t="e">
        <f>IF(F1="售价",ROUND(AVERAGE(R42:V42),0),ROUND(AVERAGE(R42:V42),1))</f>
        <v>#DIV/0!</v>
      </c>
      <c r="S43" s="3386"/>
      <c r="T43" s="3386"/>
      <c r="U43" s="3386"/>
      <c r="V43" s="3386"/>
      <c r="W43" s="3386"/>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2667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2669</v>
      </c>
      <c r="B51" s="759"/>
      <c r="C51" s="764"/>
      <c r="D51" s="764"/>
      <c r="E51" s="764"/>
      <c r="F51" s="765"/>
      <c r="G51" s="765"/>
      <c r="H51" s="764"/>
      <c r="I51" s="764"/>
      <c r="J51" s="764"/>
      <c r="K51" s="1160"/>
      <c r="L51" s="1161"/>
      <c r="M51" s="1159"/>
      <c r="N51" s="1159"/>
      <c r="O51" s="1159"/>
      <c r="P51" s="503"/>
      <c r="Q51" s="504"/>
    </row>
    <row r="52" spans="1:17" s="508" customFormat="1" ht="15">
      <c r="A52" s="505" t="s">
        <v>2543</v>
      </c>
      <c r="B52" s="506"/>
      <c r="C52" s="1574" t="str">
        <f>YEAR(C7)&amp;"-"&amp;MONTH(C7)</f>
        <v>2018-1</v>
      </c>
      <c r="D52" s="1575">
        <f>EDATE(C52,-1)</f>
        <v>43070</v>
      </c>
      <c r="E52" s="1575">
        <f t="shared" ref="E52:O52" si="16">EDATE(D52,-1)</f>
        <v>43040</v>
      </c>
      <c r="F52" s="1575">
        <f t="shared" si="16"/>
        <v>43009</v>
      </c>
      <c r="G52" s="1575">
        <f t="shared" si="16"/>
        <v>42979</v>
      </c>
      <c r="H52" s="1575">
        <f t="shared" si="16"/>
        <v>42948</v>
      </c>
      <c r="I52" s="1575">
        <f t="shared" si="16"/>
        <v>42917</v>
      </c>
      <c r="J52" s="1575">
        <f t="shared" si="16"/>
        <v>42887</v>
      </c>
      <c r="K52" s="1575">
        <f t="shared" si="16"/>
        <v>42856</v>
      </c>
      <c r="L52" s="1575">
        <f t="shared" si="16"/>
        <v>42826</v>
      </c>
      <c r="M52" s="1575">
        <f t="shared" si="16"/>
        <v>42795</v>
      </c>
      <c r="N52" s="1575">
        <f t="shared" si="16"/>
        <v>42767</v>
      </c>
      <c r="O52" s="1575">
        <f t="shared" si="16"/>
        <v>42736</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2580</v>
      </c>
      <c r="B54" s="516"/>
      <c r="C54" s="517"/>
      <c r="D54" s="518"/>
      <c r="E54" s="518"/>
      <c r="F54" s="518"/>
      <c r="G54" s="518"/>
      <c r="H54" s="518"/>
      <c r="I54" s="518"/>
      <c r="J54" s="518"/>
      <c r="K54" s="518"/>
      <c r="L54" s="518"/>
      <c r="M54" s="519"/>
      <c r="N54" s="518"/>
      <c r="O54" s="520"/>
      <c r="P54" s="504"/>
      <c r="Q54" s="504"/>
    </row>
    <row r="55" spans="1:17" s="117" customFormat="1" ht="15">
      <c r="A55" s="521" t="s">
        <v>2545</v>
      </c>
      <c r="B55" s="510"/>
      <c r="C55" s="522" t="s">
        <v>2647</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2583</v>
      </c>
      <c r="B57" s="528" t="s">
        <v>2549</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2552</v>
      </c>
      <c r="C59" s="539" t="s">
        <v>2584</v>
      </c>
      <c r="D59" s="539" t="s">
        <v>2585</v>
      </c>
      <c r="E59" s="539" t="s">
        <v>2586</v>
      </c>
      <c r="F59" s="539" t="s">
        <v>2587</v>
      </c>
      <c r="G59" s="539" t="s">
        <v>2588</v>
      </c>
      <c r="H59" s="539" t="s">
        <v>2589</v>
      </c>
      <c r="I59" s="539" t="s">
        <v>2590</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2553</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2554</v>
      </c>
      <c r="B70" s="528" t="s">
        <v>2700</v>
      </c>
      <c r="C70" s="573" t="s">
        <v>2592</v>
      </c>
      <c r="D70" s="573" t="s">
        <v>2593</v>
      </c>
      <c r="E70" s="573" t="s">
        <v>2594</v>
      </c>
      <c r="F70" s="573" t="s">
        <v>2595</v>
      </c>
      <c r="G70" s="573" t="s">
        <v>2596</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2597</v>
      </c>
      <c r="C72" s="578" t="s">
        <v>2592</v>
      </c>
      <c r="D72" s="578" t="s">
        <v>2593</v>
      </c>
      <c r="E72" s="578" t="s">
        <v>2594</v>
      </c>
      <c r="F72" s="578" t="s">
        <v>2595</v>
      </c>
      <c r="G72" s="578" t="s">
        <v>2596</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2598</v>
      </c>
      <c r="C74" s="578" t="s">
        <v>2592</v>
      </c>
      <c r="D74" s="578" t="s">
        <v>2593</v>
      </c>
      <c r="E74" s="578" t="s">
        <v>2594</v>
      </c>
      <c r="F74" s="578" t="s">
        <v>2595</v>
      </c>
      <c r="G74" s="578" t="s">
        <v>2596</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2684</v>
      </c>
      <c r="C76" s="660" t="s">
        <v>2670</v>
      </c>
      <c r="D76" s="660" t="s">
        <v>2671</v>
      </c>
      <c r="E76" s="660" t="s">
        <v>2672</v>
      </c>
      <c r="F76" s="660" t="s">
        <v>2673</v>
      </c>
      <c r="G76" s="660" t="s">
        <v>2674</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2693</v>
      </c>
      <c r="C78" s="578" t="s">
        <v>2592</v>
      </c>
      <c r="D78" s="578" t="s">
        <v>2593</v>
      </c>
      <c r="E78" s="578" t="s">
        <v>2594</v>
      </c>
      <c r="F78" s="578" t="s">
        <v>2595</v>
      </c>
      <c r="G78" s="578" t="s">
        <v>2596</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2"/>
      <c r="B87" s="569"/>
      <c r="C87" s="570"/>
      <c r="D87" s="570"/>
      <c r="E87" s="570"/>
      <c r="F87" s="570"/>
      <c r="G87" s="591"/>
      <c r="H87" s="591"/>
      <c r="I87" s="591"/>
      <c r="J87" s="591"/>
      <c r="K87" s="591"/>
      <c r="L87" s="591"/>
      <c r="M87" s="592"/>
      <c r="N87" s="1153"/>
      <c r="O87" s="1153"/>
      <c r="P87" s="45"/>
      <c r="Q87" s="504"/>
    </row>
    <row r="88" spans="1:17">
      <c r="A88" s="527" t="s">
        <v>2558</v>
      </c>
      <c r="B88" s="528" t="s">
        <v>2607</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2608</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2609</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2611</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2612</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2613</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2615</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2701</v>
      </c>
      <c r="C106" s="578" t="s">
        <v>2592</v>
      </c>
      <c r="D106" s="578" t="s">
        <v>2593</v>
      </c>
      <c r="E106" s="578" t="s">
        <v>2594</v>
      </c>
      <c r="F106" s="578" t="s">
        <v>2595</v>
      </c>
      <c r="G106" s="578" t="s">
        <v>2596</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2"/>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2" priority="16" stopIfTrue="1" operator="containsText" text="超过">
      <formula>NOT(ISERROR(SEARCH("超过",F46)))</formula>
    </cfRule>
  </conditionalFormatting>
  <conditionalFormatting sqref="H48">
    <cfRule type="containsText" dxfId="71" priority="15" stopIfTrue="1" operator="containsText" text="超过">
      <formula>NOT(ISERROR(SEARCH("超过",H48)))</formula>
    </cfRule>
  </conditionalFormatting>
  <conditionalFormatting sqref="F48">
    <cfRule type="containsText" dxfId="70" priority="14" stopIfTrue="1" operator="containsText" text="超过">
      <formula>NOT(ISERROR(SEARCH("超过",F48)))</formula>
    </cfRule>
  </conditionalFormatting>
  <conditionalFormatting sqref="F47 H47">
    <cfRule type="containsText" dxfId="69" priority="13" stopIfTrue="1" operator="containsText" text="超过">
      <formula>NOT(ISERROR(SEARCH("超过",F47)))</formula>
    </cfRule>
  </conditionalFormatting>
  <conditionalFormatting sqref="E46">
    <cfRule type="expression" dxfId="68" priority="12" stopIfTrue="1">
      <formula>$F$46="超过30%"</formula>
    </cfRule>
  </conditionalFormatting>
  <conditionalFormatting sqref="E47">
    <cfRule type="expression" dxfId="67" priority="11" stopIfTrue="1">
      <formula>$F$47="超过20%"</formula>
    </cfRule>
  </conditionalFormatting>
  <conditionalFormatting sqref="E48">
    <cfRule type="expression" dxfId="66" priority="10" stopIfTrue="1">
      <formula>$F$48="超过30%"</formula>
    </cfRule>
  </conditionalFormatting>
  <conditionalFormatting sqref="G48">
    <cfRule type="expression" dxfId="65" priority="9" stopIfTrue="1">
      <formula>$H$48="超过30%"</formula>
    </cfRule>
  </conditionalFormatting>
  <conditionalFormatting sqref="G46">
    <cfRule type="expression" dxfId="64" priority="8" stopIfTrue="1">
      <formula>$H$46="超过30%"</formula>
    </cfRule>
  </conditionalFormatting>
  <conditionalFormatting sqref="G47">
    <cfRule type="expression" dxfId="63" priority="7" stopIfTrue="1">
      <formula>$H$47="超过20%"</formula>
    </cfRule>
  </conditionalFormatting>
  <conditionalFormatting sqref="J46">
    <cfRule type="containsText" dxfId="62" priority="6" stopIfTrue="1" operator="containsText" text="超过">
      <formula>NOT(ISERROR(SEARCH("超过",J46)))</formula>
    </cfRule>
  </conditionalFormatting>
  <conditionalFormatting sqref="J48">
    <cfRule type="containsText" dxfId="61" priority="5" stopIfTrue="1" operator="containsText" text="超过">
      <formula>NOT(ISERROR(SEARCH("超过",J48)))</formula>
    </cfRule>
  </conditionalFormatting>
  <conditionalFormatting sqref="J47">
    <cfRule type="containsText" dxfId="60" priority="4" stopIfTrue="1" operator="containsText" text="超过">
      <formula>NOT(ISERROR(SEARCH("超过",J47)))</formula>
    </cfRule>
  </conditionalFormatting>
  <conditionalFormatting sqref="I46">
    <cfRule type="expression" dxfId="59" priority="3" stopIfTrue="1">
      <formula>$J$46="超过30%"</formula>
    </cfRule>
  </conditionalFormatting>
  <conditionalFormatting sqref="I47">
    <cfRule type="expression" dxfId="58" priority="2" stopIfTrue="1">
      <formula>$J$47="超过20%"</formula>
    </cfRule>
  </conditionalFormatting>
  <conditionalFormatting sqref="I48">
    <cfRule type="expression" dxfId="5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2702</v>
      </c>
      <c r="B1" s="1619"/>
      <c r="C1" s="1620" t="s">
        <v>2525</v>
      </c>
      <c r="D1" s="1621"/>
      <c r="E1" s="1622"/>
      <c r="F1" s="2582"/>
      <c r="G1" s="1623" t="s">
        <v>2638</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2325</v>
      </c>
      <c r="B2" s="1418" t="e">
        <f ca="1">IF(C2="——",IF(B37="元/平方米",ROUND(C39*D3/10000,0),ROUND(F3*C39/10000,0)),IF(B37="元/平方米",ROUND(C39*D3/10000,0),ROUND(F3*C39/10000,0))-D2)</f>
        <v>#DIV/0!</v>
      </c>
      <c r="C2" s="2584"/>
      <c r="D2" s="1124" t="e">
        <f ca="1">SUMIF(INDIRECT("'"&amp;F2&amp;"'"&amp;"!A:A"),"承租人权益价值",INDIRECT("'"&amp;F2&amp;"'"&amp;"!c:c"))</f>
        <v>#REF!</v>
      </c>
      <c r="E2" s="2585" t="s">
        <v>2326</v>
      </c>
      <c r="F2" s="2586"/>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2327</v>
      </c>
      <c r="B3" s="609" t="e">
        <f ca="1">IF(AND(C2="——",B37="元/平方米"),C39,ROUND(B2*10000/D3,0))</f>
        <v>#DIV/0!</v>
      </c>
      <c r="C3" s="400" t="s">
        <v>2639</v>
      </c>
      <c r="D3" s="399">
        <f>SUMIF('数据-汇总表'!$C19:$C33,D1,'数据-汇总表'!$E19:$E33)</f>
        <v>0</v>
      </c>
      <c r="E3" s="400" t="s">
        <v>2703</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2640</v>
      </c>
      <c r="B4" s="402"/>
      <c r="C4" s="3317" t="s">
        <v>2641</v>
      </c>
      <c r="D4" s="3330"/>
      <c r="E4" s="3331" t="s">
        <v>2642</v>
      </c>
      <c r="F4" s="3332"/>
      <c r="G4" s="3317" t="s">
        <v>2643</v>
      </c>
      <c r="H4" s="3330"/>
      <c r="I4" s="3317" t="s">
        <v>2644</v>
      </c>
      <c r="J4" s="3330"/>
      <c r="K4" s="610" t="s">
        <v>2645</v>
      </c>
      <c r="L4" s="1130"/>
      <c r="M4" s="1131"/>
      <c r="N4" s="1131"/>
      <c r="O4" s="1131"/>
      <c r="P4" s="3333" t="s">
        <v>2646</v>
      </c>
      <c r="Q4" s="3334"/>
      <c r="R4" s="3339" t="s">
        <v>2642</v>
      </c>
      <c r="S4" s="3340"/>
      <c r="T4" s="3339" t="s">
        <v>2643</v>
      </c>
      <c r="U4" s="3340"/>
      <c r="V4" s="3326" t="s">
        <v>2644</v>
      </c>
      <c r="W4" s="3326"/>
      <c r="X4" s="1813"/>
      <c r="Y4" s="3339" t="s">
        <v>2646</v>
      </c>
      <c r="Z4" s="3340"/>
      <c r="AA4" s="3327" t="s">
        <v>2642</v>
      </c>
      <c r="AB4" s="3328" t="s">
        <v>2643</v>
      </c>
      <c r="AC4" s="3327" t="s">
        <v>2644</v>
      </c>
    </row>
    <row r="5" spans="1:29" ht="15">
      <c r="A5" s="404"/>
      <c r="B5" s="405"/>
      <c r="C5" s="3424" t="s">
        <v>2537</v>
      </c>
      <c r="D5" s="3348"/>
      <c r="E5" s="3426" t="s">
        <v>2538</v>
      </c>
      <c r="F5" s="3355"/>
      <c r="G5" s="3424" t="s">
        <v>2539</v>
      </c>
      <c r="H5" s="3348"/>
      <c r="I5" s="3424" t="s">
        <v>2540</v>
      </c>
      <c r="J5" s="3348"/>
      <c r="K5" s="610"/>
      <c r="L5" s="1130"/>
      <c r="M5" s="1131"/>
      <c r="N5" s="1131"/>
      <c r="O5" s="1131"/>
      <c r="P5" s="3335"/>
      <c r="Q5" s="3336"/>
      <c r="R5" s="3341"/>
      <c r="S5" s="3342"/>
      <c r="T5" s="3341"/>
      <c r="U5" s="3342"/>
      <c r="V5" s="3326"/>
      <c r="W5" s="3326"/>
      <c r="X5" s="1813"/>
      <c r="Y5" s="3341"/>
      <c r="Z5" s="3342"/>
      <c r="AA5" s="3328"/>
      <c r="AB5" s="3328"/>
      <c r="AC5" s="3328"/>
    </row>
    <row r="6" spans="1:29" ht="15.75" thickBot="1">
      <c r="A6" s="406"/>
      <c r="B6" s="407"/>
      <c r="C6" s="3423" t="s">
        <v>2541</v>
      </c>
      <c r="D6" s="3346"/>
      <c r="E6" s="3425" t="s">
        <v>2541</v>
      </c>
      <c r="F6" s="3353"/>
      <c r="G6" s="3423" t="s">
        <v>2541</v>
      </c>
      <c r="H6" s="3346"/>
      <c r="I6" s="3423" t="s">
        <v>2541</v>
      </c>
      <c r="J6" s="3346"/>
      <c r="K6" s="610" t="s">
        <v>2542</v>
      </c>
      <c r="L6" s="1130"/>
      <c r="M6" s="1131"/>
      <c r="N6" s="1131"/>
      <c r="O6" s="1131"/>
      <c r="P6" s="3337"/>
      <c r="Q6" s="3338"/>
      <c r="R6" s="3341"/>
      <c r="S6" s="3342"/>
      <c r="T6" s="3343"/>
      <c r="U6" s="3344"/>
      <c r="V6" s="3326"/>
      <c r="W6" s="3326"/>
      <c r="X6" s="1813"/>
      <c r="Y6" s="3343"/>
      <c r="Z6" s="3344"/>
      <c r="AA6" s="3329"/>
      <c r="AB6" s="3329"/>
      <c r="AC6" s="3329"/>
    </row>
    <row r="7" spans="1:29" s="117" customFormat="1" ht="15.75" thickBot="1">
      <c r="A7" s="408" t="s">
        <v>2543</v>
      </c>
      <c r="B7" s="409"/>
      <c r="C7" s="410">
        <f>'数据-取费表'!B2</f>
        <v>43111</v>
      </c>
      <c r="D7" s="411">
        <v>100</v>
      </c>
      <c r="E7" s="412"/>
      <c r="F7" s="413">
        <f>SUMIF(48:48,YEAR(E7)&amp;"-"&amp;MONTH(E7),49:49)</f>
        <v>0</v>
      </c>
      <c r="G7" s="412"/>
      <c r="H7" s="411">
        <f>SUMIF(48:48,YEAR(G7)&amp;"-"&amp;MONTH(G7),49:49)</f>
        <v>0</v>
      </c>
      <c r="I7" s="412"/>
      <c r="J7" s="411">
        <f>SUMIF(48:48,YEAR(I7)&amp;"-"&amp;MONTH(I7),49:49)</f>
        <v>0</v>
      </c>
      <c r="K7" s="611"/>
      <c r="L7" s="1132"/>
      <c r="M7" s="1133"/>
      <c r="N7" s="1133"/>
      <c r="O7" s="1133"/>
      <c r="P7" s="3349" t="s">
        <v>2544</v>
      </c>
      <c r="Q7" s="3351"/>
      <c r="R7" s="770" t="s">
        <v>17</v>
      </c>
      <c r="S7" s="771">
        <f t="shared" ref="S7:S14" si="0">F7</f>
        <v>0</v>
      </c>
      <c r="T7" s="770" t="s">
        <v>17</v>
      </c>
      <c r="U7" s="771">
        <f t="shared" ref="U7:U14" si="1">H7</f>
        <v>0</v>
      </c>
      <c r="V7" s="770" t="s">
        <v>17</v>
      </c>
      <c r="W7" s="771">
        <f t="shared" ref="W7:W14" si="2">J7</f>
        <v>0</v>
      </c>
      <c r="X7" s="772"/>
      <c r="Y7" s="3349" t="s">
        <v>2544</v>
      </c>
      <c r="Z7" s="3350"/>
      <c r="AA7" s="773" t="e">
        <f>D7/F7</f>
        <v>#DIV/0!</v>
      </c>
      <c r="AB7" s="773" t="e">
        <f>D7/H7</f>
        <v>#DIV/0!</v>
      </c>
      <c r="AC7" s="773" t="e">
        <f>D7/J7</f>
        <v>#DIV/0!</v>
      </c>
    </row>
    <row r="8" spans="1:29" s="117" customFormat="1" ht="15.75" thickBot="1">
      <c r="A8" s="408" t="s">
        <v>2545</v>
      </c>
      <c r="B8" s="409"/>
      <c r="C8" s="414" t="s">
        <v>2647</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349" t="s">
        <v>2547</v>
      </c>
      <c r="Q8" s="3350"/>
      <c r="R8" s="770" t="s">
        <v>17</v>
      </c>
      <c r="S8" s="771">
        <f t="shared" si="0"/>
        <v>0</v>
      </c>
      <c r="T8" s="770" t="s">
        <v>17</v>
      </c>
      <c r="U8" s="771">
        <f t="shared" si="1"/>
        <v>0</v>
      </c>
      <c r="V8" s="770" t="s">
        <v>17</v>
      </c>
      <c r="W8" s="771">
        <f t="shared" si="2"/>
        <v>0</v>
      </c>
      <c r="X8" s="772"/>
      <c r="Y8" s="3349" t="s">
        <v>2547</v>
      </c>
      <c r="Z8" s="3350"/>
      <c r="AA8" s="773" t="e">
        <f t="shared" ref="AA8:AA36" si="3">D8/F8</f>
        <v>#DIV/0!</v>
      </c>
      <c r="AB8" s="773" t="e">
        <f t="shared" ref="AB8:AB36" si="4">D8/H8</f>
        <v>#DIV/0!</v>
      </c>
      <c r="AC8" s="773" t="e">
        <f t="shared" ref="AC8:AC36" si="5">D8/J8</f>
        <v>#DIV/0!</v>
      </c>
    </row>
    <row r="9" spans="1:29" s="117" customFormat="1">
      <c r="A9" s="68" t="s">
        <v>2548</v>
      </c>
      <c r="B9" s="640" t="s">
        <v>2549</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320" t="s">
        <v>2550</v>
      </c>
      <c r="Q9" s="1795" t="str">
        <f t="shared" ref="Q9:Q14" si="6">B9</f>
        <v>用途</v>
      </c>
      <c r="R9" s="770" t="s">
        <v>17</v>
      </c>
      <c r="S9" s="771">
        <f t="shared" si="0"/>
        <v>100</v>
      </c>
      <c r="T9" s="770" t="s">
        <v>17</v>
      </c>
      <c r="U9" s="771">
        <f t="shared" si="1"/>
        <v>100</v>
      </c>
      <c r="V9" s="770" t="s">
        <v>17</v>
      </c>
      <c r="W9" s="771">
        <f t="shared" si="2"/>
        <v>100</v>
      </c>
      <c r="X9" s="772"/>
      <c r="Y9" s="3151" t="s">
        <v>2551</v>
      </c>
      <c r="Z9" s="55" t="str">
        <f t="shared" ref="Z9:Z14" si="7">Q9</f>
        <v>用途</v>
      </c>
      <c r="AA9" s="773">
        <f t="shared" si="3"/>
        <v>1</v>
      </c>
      <c r="AB9" s="773">
        <f t="shared" si="4"/>
        <v>1</v>
      </c>
      <c r="AC9" s="773">
        <f t="shared" si="5"/>
        <v>1</v>
      </c>
    </row>
    <row r="10" spans="1:29" s="427" customFormat="1" ht="27">
      <c r="A10" s="641"/>
      <c r="B10" s="642" t="s">
        <v>2552</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320"/>
      <c r="Q10" s="1795" t="str">
        <f t="shared" si="6"/>
        <v>土地使用年限（年）</v>
      </c>
      <c r="R10" s="770" t="s">
        <v>17</v>
      </c>
      <c r="S10" s="771">
        <f t="shared" si="0"/>
        <v>100</v>
      </c>
      <c r="T10" s="770" t="s">
        <v>17</v>
      </c>
      <c r="U10" s="771">
        <f t="shared" si="1"/>
        <v>100</v>
      </c>
      <c r="V10" s="770" t="s">
        <v>17</v>
      </c>
      <c r="W10" s="771">
        <f t="shared" si="2"/>
        <v>100</v>
      </c>
      <c r="X10" s="772"/>
      <c r="Y10" s="3151"/>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320"/>
      <c r="Q11" s="1795">
        <f t="shared" si="6"/>
        <v>111</v>
      </c>
      <c r="R11" s="770" t="s">
        <v>17</v>
      </c>
      <c r="S11" s="771">
        <f t="shared" si="0"/>
        <v>100</v>
      </c>
      <c r="T11" s="770" t="s">
        <v>17</v>
      </c>
      <c r="U11" s="771">
        <f t="shared" si="1"/>
        <v>100</v>
      </c>
      <c r="V11" s="770" t="s">
        <v>17</v>
      </c>
      <c r="W11" s="771">
        <f t="shared" si="2"/>
        <v>100</v>
      </c>
      <c r="X11" s="772"/>
      <c r="Y11" s="3151"/>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320"/>
      <c r="Q12" s="1795">
        <f t="shared" si="6"/>
        <v>111</v>
      </c>
      <c r="R12" s="770" t="s">
        <v>17</v>
      </c>
      <c r="S12" s="771">
        <f t="shared" si="0"/>
        <v>100</v>
      </c>
      <c r="T12" s="770" t="s">
        <v>17</v>
      </c>
      <c r="U12" s="771">
        <f t="shared" si="1"/>
        <v>100</v>
      </c>
      <c r="V12" s="770" t="s">
        <v>17</v>
      </c>
      <c r="W12" s="771">
        <f t="shared" si="2"/>
        <v>100</v>
      </c>
      <c r="X12" s="772"/>
      <c r="Y12" s="3151"/>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320"/>
      <c r="Q13" s="1795">
        <f t="shared" si="6"/>
        <v>111</v>
      </c>
      <c r="R13" s="770" t="s">
        <v>17</v>
      </c>
      <c r="S13" s="771">
        <f t="shared" si="0"/>
        <v>100</v>
      </c>
      <c r="T13" s="770" t="s">
        <v>17</v>
      </c>
      <c r="U13" s="771">
        <f t="shared" si="1"/>
        <v>100</v>
      </c>
      <c r="V13" s="770" t="s">
        <v>17</v>
      </c>
      <c r="W13" s="771">
        <f t="shared" si="2"/>
        <v>100</v>
      </c>
      <c r="X13" s="772"/>
      <c r="Y13" s="3151"/>
      <c r="Z13" s="55">
        <f t="shared" si="7"/>
        <v>111</v>
      </c>
      <c r="AA13" s="773">
        <f t="shared" si="3"/>
        <v>1</v>
      </c>
      <c r="AB13" s="773">
        <f t="shared" si="4"/>
        <v>1</v>
      </c>
      <c r="AC13" s="773">
        <f t="shared" si="5"/>
        <v>1</v>
      </c>
    </row>
    <row r="14" spans="1:29" ht="128.25">
      <c r="A14" s="401" t="s">
        <v>2554</v>
      </c>
      <c r="B14" s="629" t="s">
        <v>2704</v>
      </c>
      <c r="C14" s="2689" t="str">
        <f>IF(B1="工业",估价对象房地状况!G4,估价对象房地状况!C6)</f>
        <v>估价对象多面临街，周边道路路网较为密集，公共交通通达情况较好，有417、533路等、停车便捷程度较好，综合评价交通便捷度较好。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322" t="s">
        <v>2555</v>
      </c>
      <c r="Q14" s="1810" t="str">
        <f t="shared" si="6"/>
        <v>交通便捷度</v>
      </c>
      <c r="R14" s="774" t="s">
        <v>17</v>
      </c>
      <c r="S14" s="775">
        <f t="shared" si="0"/>
        <v>100</v>
      </c>
      <c r="T14" s="774" t="s">
        <v>17</v>
      </c>
      <c r="U14" s="775">
        <f t="shared" si="1"/>
        <v>100</v>
      </c>
      <c r="V14" s="774" t="s">
        <v>17</v>
      </c>
      <c r="W14" s="775">
        <f t="shared" si="2"/>
        <v>100</v>
      </c>
      <c r="X14" s="1813"/>
      <c r="Y14" s="3322" t="s">
        <v>2555</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323"/>
      <c r="Q15" s="1810"/>
      <c r="R15" s="774"/>
      <c r="S15" s="775"/>
      <c r="T15" s="774"/>
      <c r="U15" s="775"/>
      <c r="V15" s="774"/>
      <c r="W15" s="775"/>
      <c r="X15" s="1813"/>
      <c r="Y15" s="3323"/>
      <c r="Z15" s="1814"/>
      <c r="AA15" s="1811">
        <v>1</v>
      </c>
      <c r="AB15" s="1811">
        <v>1</v>
      </c>
      <c r="AC15" s="1811">
        <v>1</v>
      </c>
    </row>
    <row r="16" spans="1:29" ht="213.75">
      <c r="A16" s="404"/>
      <c r="B16" s="631" t="s">
        <v>2683</v>
      </c>
      <c r="C16" s="2604" t="str">
        <f>IF(B1="工业",估价对象房地状况!G5,估价对象房地状况!C7)</f>
        <v>估价对象所在区域2公里范围内有：银行（中国银行、北京农村商业银行），购物（物联隆超市、超市发超市）、医院（北七家社区卫生服务中心），学校（北京市晨星学校、伊顿双语幼儿园），餐饮等，公共配套设施齐备情况较好。</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323"/>
      <c r="Q16" s="1810" t="str">
        <f>B16</f>
        <v>公共配套设施</v>
      </c>
      <c r="R16" s="774" t="s">
        <v>17</v>
      </c>
      <c r="S16" s="775">
        <f>F16</f>
        <v>100</v>
      </c>
      <c r="T16" s="774" t="s">
        <v>17</v>
      </c>
      <c r="U16" s="775">
        <f>H16</f>
        <v>100</v>
      </c>
      <c r="V16" s="774" t="s">
        <v>17</v>
      </c>
      <c r="W16" s="775">
        <f>J16</f>
        <v>100</v>
      </c>
      <c r="X16" s="1813"/>
      <c r="Y16" s="3323"/>
      <c r="Z16" s="1814" t="str">
        <f>Q16</f>
        <v>公共配套设施</v>
      </c>
      <c r="AA16" s="1811">
        <f t="shared" si="3"/>
        <v>1</v>
      </c>
      <c r="AB16" s="1811">
        <f t="shared" si="4"/>
        <v>1</v>
      </c>
      <c r="AC16" s="1811">
        <f t="shared" si="5"/>
        <v>1</v>
      </c>
    </row>
    <row r="17" spans="1:29" ht="15">
      <c r="A17" s="404"/>
      <c r="B17" s="632"/>
      <c r="C17" s="2605"/>
      <c r="D17" s="448"/>
      <c r="E17" s="447"/>
      <c r="F17" s="449"/>
      <c r="G17" s="447"/>
      <c r="H17" s="448"/>
      <c r="I17" s="447"/>
      <c r="J17" s="448"/>
      <c r="K17" s="615"/>
      <c r="L17" s="1140"/>
      <c r="M17" s="1131"/>
      <c r="N17" s="1131"/>
      <c r="O17" s="1131"/>
      <c r="P17" s="3323"/>
      <c r="Q17" s="1810"/>
      <c r="R17" s="774"/>
      <c r="S17" s="775"/>
      <c r="T17" s="774"/>
      <c r="U17" s="775"/>
      <c r="V17" s="774"/>
      <c r="W17" s="775"/>
      <c r="X17" s="1813"/>
      <c r="Y17" s="3323"/>
      <c r="Z17" s="1814"/>
      <c r="AA17" s="1811">
        <v>1</v>
      </c>
      <c r="AB17" s="1811">
        <v>1</v>
      </c>
      <c r="AC17" s="1811">
        <v>1</v>
      </c>
    </row>
    <row r="18" spans="1:29" ht="42.75">
      <c r="A18" s="404"/>
      <c r="B18" s="633" t="s">
        <v>2684</v>
      </c>
      <c r="C18" s="2604" t="str">
        <f>IF(B1="工业",估价对象房地状况!G6,估价对象房地状况!C8)</f>
        <v>估价对象所在区域基础设施水平达到“七通”。</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323"/>
      <c r="Q18" s="1810" t="str">
        <f>B18</f>
        <v>基础设施水平</v>
      </c>
      <c r="R18" s="774" t="s">
        <v>17</v>
      </c>
      <c r="S18" s="775">
        <f>F18</f>
        <v>100</v>
      </c>
      <c r="T18" s="774" t="s">
        <v>17</v>
      </c>
      <c r="U18" s="775">
        <f>H18</f>
        <v>100</v>
      </c>
      <c r="V18" s="774" t="s">
        <v>17</v>
      </c>
      <c r="W18" s="775">
        <f>J18</f>
        <v>100</v>
      </c>
      <c r="X18" s="1813"/>
      <c r="Y18" s="3323"/>
      <c r="Z18" s="1814" t="str">
        <f>Q18</f>
        <v>基础设施水平</v>
      </c>
      <c r="AA18" s="1811">
        <f t="shared" ref="AA18" si="8">D18/F18</f>
        <v>1</v>
      </c>
      <c r="AB18" s="1811">
        <f t="shared" ref="AB18" si="9">D18/H18</f>
        <v>1</v>
      </c>
      <c r="AC18" s="1811">
        <f t="shared" ref="AC18" si="10">D18/J18</f>
        <v>1</v>
      </c>
    </row>
    <row r="19" spans="1:29" ht="15">
      <c r="A19" s="404"/>
      <c r="B19" s="633"/>
      <c r="C19" s="2605"/>
      <c r="D19" s="450"/>
      <c r="E19" s="2605"/>
      <c r="F19" s="453"/>
      <c r="G19" s="2605"/>
      <c r="H19" s="448"/>
      <c r="I19" s="447"/>
      <c r="J19" s="448"/>
      <c r="K19" s="1383"/>
      <c r="L19" s="1140"/>
      <c r="M19" s="1131"/>
      <c r="N19" s="1131"/>
      <c r="O19" s="1131"/>
      <c r="P19" s="3323"/>
      <c r="Q19" s="1810"/>
      <c r="R19" s="774"/>
      <c r="S19" s="775"/>
      <c r="T19" s="774"/>
      <c r="U19" s="775"/>
      <c r="V19" s="774"/>
      <c r="W19" s="775"/>
      <c r="X19" s="1813"/>
      <c r="Y19" s="3323"/>
      <c r="Z19" s="1814"/>
      <c r="AA19" s="1811">
        <v>1</v>
      </c>
      <c r="AB19" s="1811">
        <v>1</v>
      </c>
      <c r="AC19" s="1811">
        <v>1</v>
      </c>
    </row>
    <row r="20" spans="1:29" ht="99.75">
      <c r="A20" s="404"/>
      <c r="B20" s="631" t="s">
        <v>2705</v>
      </c>
      <c r="C20" s="2604" t="str">
        <f>IF(B1="工业",估价对象房地状况!G7,估价对象房地状况!C9)</f>
        <v>区域自然环境：未来科技城滨河公园；人文环境：无展览馆、博物馆等；综合评价环境状况一般。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323"/>
      <c r="Q20" s="1810" t="str">
        <f>B20</f>
        <v>自然及人文环境</v>
      </c>
      <c r="R20" s="774" t="s">
        <v>17</v>
      </c>
      <c r="S20" s="775">
        <f>F20</f>
        <v>100</v>
      </c>
      <c r="T20" s="774" t="s">
        <v>17</v>
      </c>
      <c r="U20" s="775">
        <f>H20</f>
        <v>100</v>
      </c>
      <c r="V20" s="774" t="s">
        <v>17</v>
      </c>
      <c r="W20" s="775">
        <f>J20</f>
        <v>100</v>
      </c>
      <c r="X20" s="1813"/>
      <c r="Y20" s="3323"/>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323"/>
      <c r="Q21" s="1810"/>
      <c r="R21" s="774"/>
      <c r="S21" s="775"/>
      <c r="T21" s="774"/>
      <c r="U21" s="775"/>
      <c r="V21" s="774"/>
      <c r="W21" s="775"/>
      <c r="X21" s="1813"/>
      <c r="Y21" s="3323"/>
      <c r="Z21" s="1814"/>
      <c r="AA21" s="1811">
        <v>1</v>
      </c>
      <c r="AB21" s="1811">
        <v>1</v>
      </c>
      <c r="AC21" s="1811">
        <v>1</v>
      </c>
    </row>
    <row r="22" spans="1:29" ht="15">
      <c r="A22" s="404"/>
      <c r="B22" s="631" t="s">
        <v>2706</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323"/>
      <c r="Q22" s="1810" t="str">
        <f>B22</f>
        <v>楼层</v>
      </c>
      <c r="R22" s="774" t="s">
        <v>17</v>
      </c>
      <c r="S22" s="775">
        <f>F22</f>
        <v>100</v>
      </c>
      <c r="T22" s="774" t="s">
        <v>17</v>
      </c>
      <c r="U22" s="775">
        <f>H22</f>
        <v>100</v>
      </c>
      <c r="V22" s="774" t="s">
        <v>17</v>
      </c>
      <c r="W22" s="775">
        <f>J22</f>
        <v>100</v>
      </c>
      <c r="X22" s="1813"/>
      <c r="Y22" s="3323"/>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323"/>
      <c r="Q23" s="1810">
        <f>B23</f>
        <v>111</v>
      </c>
      <c r="R23" s="774" t="s">
        <v>17</v>
      </c>
      <c r="S23" s="775">
        <f>F23</f>
        <v>100</v>
      </c>
      <c r="T23" s="774" t="s">
        <v>17</v>
      </c>
      <c r="U23" s="775">
        <f>H23</f>
        <v>100</v>
      </c>
      <c r="V23" s="774" t="s">
        <v>17</v>
      </c>
      <c r="W23" s="775">
        <f>J23</f>
        <v>100</v>
      </c>
      <c r="X23" s="1813"/>
      <c r="Y23" s="3323"/>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323"/>
      <c r="Q24" s="1810">
        <f t="shared" ref="Q24:Q36" si="11">B24</f>
        <v>111</v>
      </c>
      <c r="R24" s="774" t="s">
        <v>17</v>
      </c>
      <c r="S24" s="775">
        <f>F24</f>
        <v>100</v>
      </c>
      <c r="T24" s="774" t="s">
        <v>17</v>
      </c>
      <c r="U24" s="775">
        <f>H24</f>
        <v>100</v>
      </c>
      <c r="V24" s="774" t="s">
        <v>17</v>
      </c>
      <c r="W24" s="775">
        <f>J24</f>
        <v>100</v>
      </c>
      <c r="X24" s="1813"/>
      <c r="Y24" s="3323"/>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323"/>
      <c r="Q25" s="1795">
        <f t="shared" si="11"/>
        <v>111</v>
      </c>
      <c r="R25" s="770" t="s">
        <v>17</v>
      </c>
      <c r="S25" s="771">
        <f>F25</f>
        <v>100</v>
      </c>
      <c r="T25" s="770" t="s">
        <v>17</v>
      </c>
      <c r="U25" s="771">
        <f>H25</f>
        <v>100</v>
      </c>
      <c r="V25" s="770" t="s">
        <v>17</v>
      </c>
      <c r="W25" s="771">
        <f>J25</f>
        <v>100</v>
      </c>
      <c r="X25" s="772"/>
      <c r="Y25" s="3323"/>
      <c r="Z25" s="55">
        <f>Q25</f>
        <v>111</v>
      </c>
      <c r="AA25" s="1811">
        <f>D25/F25</f>
        <v>1</v>
      </c>
      <c r="AB25" s="1811">
        <f>D25/H25</f>
        <v>1</v>
      </c>
      <c r="AC25" s="1811">
        <f>D25/J25</f>
        <v>1</v>
      </c>
    </row>
    <row r="26" spans="1:29" ht="15">
      <c r="A26" s="652" t="s">
        <v>2558</v>
      </c>
      <c r="B26" s="70" t="s">
        <v>2707</v>
      </c>
      <c r="C26" s="2690">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324" t="s">
        <v>2560</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325" t="s">
        <v>2560</v>
      </c>
      <c r="Z26" s="1814" t="str">
        <f t="shared" ref="Z26:Z36" si="15">Q26</f>
        <v>配套类型</v>
      </c>
      <c r="AA26" s="1811">
        <f t="shared" si="3"/>
        <v>1</v>
      </c>
      <c r="AB26" s="1811">
        <f t="shared" si="4"/>
        <v>1</v>
      </c>
      <c r="AC26" s="1811">
        <f t="shared" si="5"/>
        <v>1</v>
      </c>
    </row>
    <row r="27" spans="1:29" s="471" customFormat="1" ht="15">
      <c r="A27" s="653"/>
      <c r="B27" s="654" t="s">
        <v>2708</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325"/>
      <c r="Q27" s="776" t="str">
        <f t="shared" si="11"/>
        <v>项目停车位配比</v>
      </c>
      <c r="R27" s="777" t="s">
        <v>17</v>
      </c>
      <c r="S27" s="778">
        <f t="shared" si="12"/>
        <v>100</v>
      </c>
      <c r="T27" s="777" t="s">
        <v>17</v>
      </c>
      <c r="U27" s="778">
        <f t="shared" si="13"/>
        <v>100</v>
      </c>
      <c r="V27" s="777" t="s">
        <v>17</v>
      </c>
      <c r="W27" s="778">
        <f t="shared" si="14"/>
        <v>100</v>
      </c>
      <c r="X27" s="779"/>
      <c r="Y27" s="3325"/>
      <c r="Z27" s="780" t="str">
        <f t="shared" si="15"/>
        <v>项目停车位配比</v>
      </c>
      <c r="AA27" s="1811">
        <f t="shared" si="3"/>
        <v>1</v>
      </c>
      <c r="AB27" s="1811">
        <f t="shared" si="4"/>
        <v>1</v>
      </c>
      <c r="AC27" s="1811">
        <f t="shared" si="5"/>
        <v>1</v>
      </c>
    </row>
    <row r="28" spans="1:29" ht="15">
      <c r="A28" s="656"/>
      <c r="B28" s="654" t="s">
        <v>2709</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325"/>
      <c r="Q28" s="1810" t="str">
        <f t="shared" si="11"/>
        <v>公共部分装修</v>
      </c>
      <c r="R28" s="774" t="s">
        <v>17</v>
      </c>
      <c r="S28" s="775">
        <f t="shared" si="12"/>
        <v>100</v>
      </c>
      <c r="T28" s="774" t="s">
        <v>17</v>
      </c>
      <c r="U28" s="775">
        <f t="shared" si="13"/>
        <v>100</v>
      </c>
      <c r="V28" s="774" t="s">
        <v>17</v>
      </c>
      <c r="W28" s="775">
        <f t="shared" si="14"/>
        <v>100</v>
      </c>
      <c r="X28" s="1813"/>
      <c r="Y28" s="3325"/>
      <c r="Z28" s="1814" t="str">
        <f t="shared" si="15"/>
        <v>公共部分装修</v>
      </c>
      <c r="AA28" s="1811">
        <f t="shared" si="3"/>
        <v>1</v>
      </c>
      <c r="AB28" s="1811">
        <f t="shared" si="4"/>
        <v>1</v>
      </c>
      <c r="AC28" s="1811">
        <f t="shared" si="5"/>
        <v>1</v>
      </c>
    </row>
    <row r="29" spans="1:29" ht="15">
      <c r="A29" s="656"/>
      <c r="B29" s="654" t="s">
        <v>2710</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325"/>
      <c r="Q29" s="1810" t="str">
        <f t="shared" si="11"/>
        <v>成新率</v>
      </c>
      <c r="R29" s="774" t="s">
        <v>17</v>
      </c>
      <c r="S29" s="775" t="e">
        <f t="shared" si="12"/>
        <v>#N/A</v>
      </c>
      <c r="T29" s="774" t="s">
        <v>17</v>
      </c>
      <c r="U29" s="775" t="e">
        <f t="shared" si="13"/>
        <v>#N/A</v>
      </c>
      <c r="V29" s="774" t="s">
        <v>17</v>
      </c>
      <c r="W29" s="775" t="e">
        <f t="shared" si="14"/>
        <v>#N/A</v>
      </c>
      <c r="X29" s="1813"/>
      <c r="Y29" s="3325"/>
      <c r="Z29" s="1814" t="str">
        <f t="shared" si="15"/>
        <v>成新率</v>
      </c>
      <c r="AA29" s="1811" t="e">
        <f t="shared" si="3"/>
        <v>#N/A</v>
      </c>
      <c r="AB29" s="1811" t="e">
        <f t="shared" si="4"/>
        <v>#N/A</v>
      </c>
      <c r="AC29" s="1811" t="e">
        <f t="shared" si="5"/>
        <v>#N/A</v>
      </c>
    </row>
    <row r="30" spans="1:29" ht="15">
      <c r="A30" s="656"/>
      <c r="B30" s="654" t="s">
        <v>2711</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325"/>
      <c r="Q30" s="1810" t="str">
        <f t="shared" si="11"/>
        <v>物业等级</v>
      </c>
      <c r="R30" s="774" t="s">
        <v>17</v>
      </c>
      <c r="S30" s="775">
        <f t="shared" si="12"/>
        <v>100</v>
      </c>
      <c r="T30" s="774" t="s">
        <v>17</v>
      </c>
      <c r="U30" s="775">
        <f t="shared" si="13"/>
        <v>100</v>
      </c>
      <c r="V30" s="774" t="s">
        <v>17</v>
      </c>
      <c r="W30" s="775">
        <f t="shared" si="14"/>
        <v>100</v>
      </c>
      <c r="X30" s="1813"/>
      <c r="Y30" s="3325"/>
      <c r="Z30" s="1814" t="str">
        <f t="shared" si="15"/>
        <v>物业等级</v>
      </c>
      <c r="AA30" s="1811">
        <f t="shared" si="3"/>
        <v>1</v>
      </c>
      <c r="AB30" s="1811">
        <f t="shared" si="4"/>
        <v>1</v>
      </c>
      <c r="AC30" s="1811">
        <f t="shared" si="5"/>
        <v>1</v>
      </c>
    </row>
    <row r="31" spans="1:29" s="117" customFormat="1" ht="15">
      <c r="A31" s="658"/>
      <c r="B31" s="654" t="s">
        <v>2712</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325"/>
      <c r="Q31" s="1795" t="str">
        <f t="shared" si="11"/>
        <v>停车位面积</v>
      </c>
      <c r="R31" s="770" t="s">
        <v>17</v>
      </c>
      <c r="S31" s="771" t="e">
        <f t="shared" si="12"/>
        <v>#N/A</v>
      </c>
      <c r="T31" s="770" t="s">
        <v>17</v>
      </c>
      <c r="U31" s="771" t="e">
        <f t="shared" si="13"/>
        <v>#N/A</v>
      </c>
      <c r="V31" s="770" t="s">
        <v>17</v>
      </c>
      <c r="W31" s="771" t="e">
        <f t="shared" si="14"/>
        <v>#N/A</v>
      </c>
      <c r="X31" s="772"/>
      <c r="Y31" s="3325"/>
      <c r="Z31" s="55" t="str">
        <f t="shared" si="15"/>
        <v>停车位面积</v>
      </c>
      <c r="AA31" s="773" t="e">
        <f t="shared" si="3"/>
        <v>#N/A</v>
      </c>
      <c r="AB31" s="773" t="e">
        <f t="shared" si="4"/>
        <v>#N/A</v>
      </c>
      <c r="AC31" s="773" t="e">
        <f t="shared" si="5"/>
        <v>#N/A</v>
      </c>
    </row>
    <row r="32" spans="1:29" ht="15">
      <c r="A32" s="656"/>
      <c r="B32" s="654" t="s">
        <v>2713</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325" t="s">
        <v>2560</v>
      </c>
      <c r="Q32" s="1810" t="str">
        <f t="shared" si="11"/>
        <v>车位类型</v>
      </c>
      <c r="R32" s="774" t="s">
        <v>17</v>
      </c>
      <c r="S32" s="775">
        <f t="shared" si="12"/>
        <v>100</v>
      </c>
      <c r="T32" s="774" t="s">
        <v>17</v>
      </c>
      <c r="U32" s="775">
        <f t="shared" si="13"/>
        <v>100</v>
      </c>
      <c r="V32" s="774" t="s">
        <v>17</v>
      </c>
      <c r="W32" s="775">
        <f t="shared" si="14"/>
        <v>100</v>
      </c>
      <c r="X32" s="1813"/>
      <c r="Y32" s="3325" t="s">
        <v>2560</v>
      </c>
      <c r="Z32" s="1814" t="str">
        <f t="shared" si="15"/>
        <v>车位类型</v>
      </c>
      <c r="AA32" s="1811">
        <f t="shared" si="3"/>
        <v>1</v>
      </c>
      <c r="AB32" s="1811">
        <f t="shared" si="4"/>
        <v>1</v>
      </c>
      <c r="AC32" s="1811">
        <f t="shared" si="5"/>
        <v>1</v>
      </c>
    </row>
    <row r="33" spans="1:29" ht="15">
      <c r="A33" s="656"/>
      <c r="B33" s="654" t="s">
        <v>2714</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325"/>
      <c r="Q33" s="1810" t="str">
        <f t="shared" si="11"/>
        <v>是否直接入户</v>
      </c>
      <c r="R33" s="774" t="s">
        <v>17</v>
      </c>
      <c r="S33" s="775">
        <f t="shared" si="12"/>
        <v>100</v>
      </c>
      <c r="T33" s="774" t="s">
        <v>17</v>
      </c>
      <c r="U33" s="775">
        <f t="shared" si="13"/>
        <v>100</v>
      </c>
      <c r="V33" s="774" t="s">
        <v>17</v>
      </c>
      <c r="W33" s="775">
        <f t="shared" si="14"/>
        <v>100</v>
      </c>
      <c r="X33" s="1813"/>
      <c r="Y33" s="3325"/>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325"/>
      <c r="Q34" s="1810">
        <f t="shared" si="11"/>
        <v>111</v>
      </c>
      <c r="R34" s="774" t="s">
        <v>17</v>
      </c>
      <c r="S34" s="775">
        <f t="shared" si="12"/>
        <v>100</v>
      </c>
      <c r="T34" s="774" t="s">
        <v>17</v>
      </c>
      <c r="U34" s="775">
        <f t="shared" si="13"/>
        <v>100</v>
      </c>
      <c r="V34" s="774" t="s">
        <v>17</v>
      </c>
      <c r="W34" s="775">
        <f t="shared" si="14"/>
        <v>100</v>
      </c>
      <c r="X34" s="1813"/>
      <c r="Y34" s="3325"/>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325"/>
      <c r="Q35" s="776">
        <f t="shared" si="11"/>
        <v>111</v>
      </c>
      <c r="R35" s="777" t="s">
        <v>17</v>
      </c>
      <c r="S35" s="778">
        <f t="shared" si="12"/>
        <v>100</v>
      </c>
      <c r="T35" s="777" t="s">
        <v>17</v>
      </c>
      <c r="U35" s="778">
        <f t="shared" si="13"/>
        <v>100</v>
      </c>
      <c r="V35" s="777" t="s">
        <v>17</v>
      </c>
      <c r="W35" s="778">
        <f t="shared" si="14"/>
        <v>100</v>
      </c>
      <c r="X35" s="779"/>
      <c r="Y35" s="3325"/>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325"/>
      <c r="Q36" s="1810">
        <f t="shared" si="11"/>
        <v>111</v>
      </c>
      <c r="R36" s="774" t="s">
        <v>17</v>
      </c>
      <c r="S36" s="775">
        <f t="shared" si="12"/>
        <v>100</v>
      </c>
      <c r="T36" s="774" t="s">
        <v>17</v>
      </c>
      <c r="U36" s="775">
        <f t="shared" si="13"/>
        <v>100</v>
      </c>
      <c r="V36" s="774" t="s">
        <v>17</v>
      </c>
      <c r="W36" s="775">
        <f t="shared" si="14"/>
        <v>100</v>
      </c>
      <c r="X36" s="1813"/>
      <c r="Y36" s="3325"/>
      <c r="Z36" s="1814">
        <f t="shared" si="15"/>
        <v>111</v>
      </c>
      <c r="AA36" s="1811">
        <f t="shared" si="3"/>
        <v>1</v>
      </c>
      <c r="AB36" s="1811">
        <f t="shared" si="4"/>
        <v>1</v>
      </c>
      <c r="AC36" s="1811">
        <f t="shared" si="5"/>
        <v>1</v>
      </c>
    </row>
    <row r="37" spans="1:29" ht="15">
      <c r="A37" s="479" t="s">
        <v>2715</v>
      </c>
      <c r="B37" s="2691" t="s">
        <v>2716</v>
      </c>
      <c r="C37" s="1407" t="s">
        <v>1</v>
      </c>
      <c r="D37" s="1408"/>
      <c r="E37" s="1409"/>
      <c r="F37" s="1410"/>
      <c r="G37" s="1411"/>
      <c r="H37" s="1412"/>
      <c r="I37" s="1409"/>
      <c r="J37" s="1412"/>
      <c r="K37" s="619"/>
      <c r="L37" s="1143"/>
      <c r="M37" s="1144"/>
      <c r="N37" s="1131"/>
      <c r="O37" s="1144"/>
      <c r="P37" s="3320" t="str">
        <f>A37</f>
        <v>成交单价</v>
      </c>
      <c r="Q37" s="3320"/>
      <c r="R37" s="3387">
        <f>E37</f>
        <v>0</v>
      </c>
      <c r="S37" s="3387"/>
      <c r="T37" s="3387">
        <f>G37</f>
        <v>0</v>
      </c>
      <c r="U37" s="3387"/>
      <c r="V37" s="3387">
        <f>I37</f>
        <v>0</v>
      </c>
      <c r="W37" s="3387"/>
      <c r="X37" s="759"/>
      <c r="Y37" s="781"/>
      <c r="Z37" s="759"/>
      <c r="AA37" s="759"/>
      <c r="AB37" s="759"/>
      <c r="AC37" s="759"/>
    </row>
    <row r="38" spans="1:29" ht="15.75" thickBot="1">
      <c r="A38" s="486" t="s">
        <v>2717</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320" t="str">
        <f>A38</f>
        <v>比较价值（元/平方米）</v>
      </c>
      <c r="Q38" s="3320"/>
      <c r="R38" s="3387" t="e">
        <f>IF(F1="售价",ROUND(PRODUCT(R37,AA7:AA36),0),ROUND(PRODUCT(R37,AA7:AA36),1))</f>
        <v>#DIV/0!</v>
      </c>
      <c r="S38" s="3387"/>
      <c r="T38" s="3387" t="e">
        <f>IF(F1="售价",ROUND(PRODUCT(T37,AB7:AB36),0),ROUND(PRODUCT(T37,AB7:AB36),1))</f>
        <v>#DIV/0!</v>
      </c>
      <c r="U38" s="3387"/>
      <c r="V38" s="3387" t="e">
        <f>IF(F1="售价",ROUND(PRODUCT(V37,AC7:AC36),0),ROUND(PRODUCT(V37,AC7:AC36),1))</f>
        <v>#DIV/0!</v>
      </c>
      <c r="W38" s="3387"/>
      <c r="X38" s="759"/>
      <c r="Y38" s="759"/>
      <c r="Z38" s="759"/>
      <c r="AA38" s="759"/>
      <c r="AB38" s="759"/>
      <c r="AC38" s="759"/>
    </row>
    <row r="39" spans="1:29" ht="15.75" thickBot="1">
      <c r="A39" s="492" t="s">
        <v>2718</v>
      </c>
      <c r="B39" s="493"/>
      <c r="C39" s="1417" t="e">
        <f>R39</f>
        <v>#DIV/0!</v>
      </c>
      <c r="D39" s="1417"/>
      <c r="E39" s="1417"/>
      <c r="F39" s="1417"/>
      <c r="G39" s="1417"/>
      <c r="H39" s="1417"/>
      <c r="I39" s="1417"/>
      <c r="J39" s="1417"/>
      <c r="K39" s="621"/>
      <c r="L39" s="1143"/>
      <c r="M39" s="1144"/>
      <c r="N39" s="1144"/>
      <c r="O39" s="1144"/>
      <c r="P39" s="3314" t="str">
        <f>A39</f>
        <v>估价对象XX用房的比较价值（楼面单价，元/平方米）</v>
      </c>
      <c r="Q39" s="3315"/>
      <c r="R39" s="3386" t="e">
        <f>IF(F1="售价",ROUND(AVERAGE(R38:V38),0),ROUND(AVERAGE(R38:V38),1))</f>
        <v>#DIV/0!</v>
      </c>
      <c r="S39" s="3386"/>
      <c r="T39" s="3386"/>
      <c r="U39" s="3386"/>
      <c r="V39" s="3386"/>
      <c r="W39" s="3386"/>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2719</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2720</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2721</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2722</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2723</v>
      </c>
      <c r="B48" s="506"/>
      <c r="C48" s="1574" t="str">
        <f>YEAR(C7)&amp;"-"&amp;MONTH(C7)</f>
        <v>2018-1</v>
      </c>
      <c r="D48" s="1575">
        <f>EDATE(C48,-1)</f>
        <v>43070</v>
      </c>
      <c r="E48" s="1575">
        <f t="shared" ref="E48:O48" si="16">EDATE(D48,-1)</f>
        <v>43040</v>
      </c>
      <c r="F48" s="1575">
        <f t="shared" si="16"/>
        <v>43009</v>
      </c>
      <c r="G48" s="1575">
        <f t="shared" si="16"/>
        <v>42979</v>
      </c>
      <c r="H48" s="1575">
        <f t="shared" si="16"/>
        <v>42948</v>
      </c>
      <c r="I48" s="1575">
        <f t="shared" si="16"/>
        <v>42917</v>
      </c>
      <c r="J48" s="1575">
        <f t="shared" si="16"/>
        <v>42887</v>
      </c>
      <c r="K48" s="1575">
        <f t="shared" si="16"/>
        <v>42856</v>
      </c>
      <c r="L48" s="1575">
        <f t="shared" si="16"/>
        <v>42826</v>
      </c>
      <c r="M48" s="1575">
        <f t="shared" si="16"/>
        <v>42795</v>
      </c>
      <c r="N48" s="1575">
        <f t="shared" si="16"/>
        <v>42767</v>
      </c>
      <c r="O48" s="1575">
        <f t="shared" si="16"/>
        <v>42736</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2580</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2545</v>
      </c>
      <c r="B51" s="510"/>
      <c r="C51" s="522" t="s">
        <v>2647</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2583</v>
      </c>
      <c r="B53" s="528" t="s">
        <v>2549</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2552</v>
      </c>
      <c r="C55" s="539" t="s">
        <v>2584</v>
      </c>
      <c r="D55" s="539" t="s">
        <v>2585</v>
      </c>
      <c r="E55" s="539" t="s">
        <v>2586</v>
      </c>
      <c r="F55" s="539" t="s">
        <v>2587</v>
      </c>
      <c r="G55" s="539" t="s">
        <v>2588</v>
      </c>
      <c r="H55" s="539" t="s">
        <v>2589</v>
      </c>
      <c r="I55" s="539" t="s">
        <v>2590</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2554</v>
      </c>
      <c r="B63" s="528" t="s">
        <v>2597</v>
      </c>
      <c r="C63" s="573" t="s">
        <v>2592</v>
      </c>
      <c r="D63" s="573" t="s">
        <v>2593</v>
      </c>
      <c r="E63" s="573" t="s">
        <v>2594</v>
      </c>
      <c r="F63" s="573" t="s">
        <v>2595</v>
      </c>
      <c r="G63" s="573" t="s">
        <v>2596</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2598</v>
      </c>
      <c r="C65" s="578" t="s">
        <v>2592</v>
      </c>
      <c r="D65" s="578" t="s">
        <v>2593</v>
      </c>
      <c r="E65" s="578" t="s">
        <v>2594</v>
      </c>
      <c r="F65" s="578" t="s">
        <v>2595</v>
      </c>
      <c r="G65" s="578" t="s">
        <v>2596</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2684</v>
      </c>
      <c r="C67" s="660" t="s">
        <v>2670</v>
      </c>
      <c r="D67" s="660" t="s">
        <v>2671</v>
      </c>
      <c r="E67" s="660" t="s">
        <v>2672</v>
      </c>
      <c r="F67" s="660" t="s">
        <v>2673</v>
      </c>
      <c r="G67" s="660" t="s">
        <v>2674</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2604</v>
      </c>
      <c r="C69" s="578" t="s">
        <v>2592</v>
      </c>
      <c r="D69" s="578" t="s">
        <v>2593</v>
      </c>
      <c r="E69" s="578" t="s">
        <v>2594</v>
      </c>
      <c r="F69" s="578" t="s">
        <v>2595</v>
      </c>
      <c r="G69" s="578" t="s">
        <v>2596</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2724</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2558</v>
      </c>
      <c r="B79" s="528" t="s">
        <v>2725</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2726</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2611</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2727</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2728</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2729</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2730</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2731</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6" priority="14" stopIfTrue="1" operator="containsText" text="超过">
      <formula>NOT(ISERROR(SEARCH("超过",F42)))</formula>
    </cfRule>
  </conditionalFormatting>
  <conditionalFormatting sqref="J44">
    <cfRule type="containsText" dxfId="55" priority="13" stopIfTrue="1" operator="containsText" text="超过">
      <formula>NOT(ISERROR(SEARCH("超过",J44)))</formula>
    </cfRule>
  </conditionalFormatting>
  <conditionalFormatting sqref="H44">
    <cfRule type="containsText" dxfId="54" priority="12" stopIfTrue="1" operator="containsText" text="超过">
      <formula>NOT(ISERROR(SEARCH("超过",H44)))</formula>
    </cfRule>
  </conditionalFormatting>
  <conditionalFormatting sqref="F44">
    <cfRule type="containsText" dxfId="53" priority="11" stopIfTrue="1" operator="containsText" text="超过">
      <formula>NOT(ISERROR(SEARCH("超过",F44)))</formula>
    </cfRule>
  </conditionalFormatting>
  <conditionalFormatting sqref="F43 H43 J43">
    <cfRule type="containsText" dxfId="52" priority="10" stopIfTrue="1" operator="containsText" text="超过">
      <formula>NOT(ISERROR(SEARCH("超过",F43)))</formula>
    </cfRule>
  </conditionalFormatting>
  <conditionalFormatting sqref="E42">
    <cfRule type="expression" dxfId="51" priority="9" stopIfTrue="1">
      <formula>$F$42="超过30%"</formula>
    </cfRule>
  </conditionalFormatting>
  <conditionalFormatting sqref="G44">
    <cfRule type="expression" dxfId="50" priority="8" stopIfTrue="1">
      <formula>$H$54+$H$44="超过30%"</formula>
    </cfRule>
  </conditionalFormatting>
  <conditionalFormatting sqref="E43">
    <cfRule type="expression" dxfId="49" priority="7" stopIfTrue="1">
      <formula>$F$43="超过20%"</formula>
    </cfRule>
  </conditionalFormatting>
  <conditionalFormatting sqref="E44">
    <cfRule type="expression" dxfId="48" priority="6" stopIfTrue="1">
      <formula>$F$44="超过30%"</formula>
    </cfRule>
  </conditionalFormatting>
  <conditionalFormatting sqref="G42">
    <cfRule type="expression" dxfId="47" priority="5" stopIfTrue="1">
      <formula>$H$52+$H$42="超过30%"</formula>
    </cfRule>
  </conditionalFormatting>
  <conditionalFormatting sqref="G43">
    <cfRule type="expression" dxfId="46" priority="4" stopIfTrue="1">
      <formula>$H$43="超过20%"</formula>
    </cfRule>
  </conditionalFormatting>
  <conditionalFormatting sqref="I42">
    <cfRule type="expression" dxfId="45" priority="3" stopIfTrue="1">
      <formula>$J$52+$J$42="超过30%"</formula>
    </cfRule>
  </conditionalFormatting>
  <conditionalFormatting sqref="I43">
    <cfRule type="expression" dxfId="44" priority="2" stopIfTrue="1">
      <formula>$J$53+$J$43="超过20%"</formula>
    </cfRule>
  </conditionalFormatting>
  <conditionalFormatting sqref="I44">
    <cfRule type="expression" dxfId="4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2702</v>
      </c>
      <c r="B1" s="1619"/>
      <c r="C1" s="1620" t="s">
        <v>2525</v>
      </c>
      <c r="D1" s="1621"/>
      <c r="E1" s="1630"/>
      <c r="F1" s="2582"/>
      <c r="G1" s="1631" t="s">
        <v>2638</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2325</v>
      </c>
      <c r="B2" s="1418" t="e">
        <f ca="1">IF(C2="——",ROUND(C37*D3/10000,0),ROUND(C37*D3/10000,0)-D2)</f>
        <v>#DIV/0!</v>
      </c>
      <c r="C2" s="2584"/>
      <c r="D2" s="1124" t="e">
        <f ca="1">SUMIF(INDIRECT("'"&amp;F2&amp;"'"&amp;"!A:A"),"承租人权益价值",INDIRECT("'"&amp;F2&amp;"'"&amp;"!c:c"))</f>
        <v>#REF!</v>
      </c>
      <c r="E2" s="2585" t="s">
        <v>2326</v>
      </c>
      <c r="F2" s="258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2327</v>
      </c>
      <c r="B3" s="609" t="e">
        <f ca="1">IF(C2="——",C37,ROUND(B2*10000/D3,0))</f>
        <v>#DIV/0!</v>
      </c>
      <c r="C3" s="400" t="s">
        <v>2639</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2640</v>
      </c>
      <c r="B4" s="402"/>
      <c r="C4" s="3317" t="s">
        <v>2641</v>
      </c>
      <c r="D4" s="3330"/>
      <c r="E4" s="3331" t="s">
        <v>2642</v>
      </c>
      <c r="F4" s="3332"/>
      <c r="G4" s="3317" t="s">
        <v>2643</v>
      </c>
      <c r="H4" s="3330"/>
      <c r="I4" s="3317" t="s">
        <v>2644</v>
      </c>
      <c r="J4" s="3330"/>
      <c r="K4" s="610" t="s">
        <v>2645</v>
      </c>
      <c r="L4" s="1130"/>
      <c r="M4" s="1131"/>
      <c r="N4" s="1131"/>
      <c r="O4" s="1131"/>
      <c r="P4" s="3333" t="s">
        <v>2646</v>
      </c>
      <c r="Q4" s="3334"/>
      <c r="R4" s="3339" t="s">
        <v>2642</v>
      </c>
      <c r="S4" s="3340"/>
      <c r="T4" s="3339" t="s">
        <v>2643</v>
      </c>
      <c r="U4" s="3340"/>
      <c r="V4" s="3326" t="s">
        <v>2644</v>
      </c>
      <c r="W4" s="3326"/>
      <c r="X4" s="1813"/>
      <c r="Y4" s="3339" t="s">
        <v>2646</v>
      </c>
      <c r="Z4" s="3340"/>
      <c r="AA4" s="3327" t="s">
        <v>2642</v>
      </c>
      <c r="AB4" s="3328" t="s">
        <v>2643</v>
      </c>
      <c r="AC4" s="3327" t="s">
        <v>2644</v>
      </c>
    </row>
    <row r="5" spans="1:29" ht="15">
      <c r="A5" s="404"/>
      <c r="B5" s="405"/>
      <c r="C5" s="3424" t="s">
        <v>2537</v>
      </c>
      <c r="D5" s="3348"/>
      <c r="E5" s="3426" t="s">
        <v>2538</v>
      </c>
      <c r="F5" s="3355"/>
      <c r="G5" s="3424" t="s">
        <v>2539</v>
      </c>
      <c r="H5" s="3348"/>
      <c r="I5" s="3424" t="s">
        <v>2540</v>
      </c>
      <c r="J5" s="3348"/>
      <c r="K5" s="610"/>
      <c r="L5" s="1130"/>
      <c r="M5" s="1131"/>
      <c r="N5" s="1131"/>
      <c r="O5" s="1131"/>
      <c r="P5" s="3335"/>
      <c r="Q5" s="3336"/>
      <c r="R5" s="3341"/>
      <c r="S5" s="3342"/>
      <c r="T5" s="3341"/>
      <c r="U5" s="3342"/>
      <c r="V5" s="3326"/>
      <c r="W5" s="3326"/>
      <c r="X5" s="1813"/>
      <c r="Y5" s="3341"/>
      <c r="Z5" s="3342"/>
      <c r="AA5" s="3328"/>
      <c r="AB5" s="3328"/>
      <c r="AC5" s="3328"/>
    </row>
    <row r="6" spans="1:29" ht="15.75" thickBot="1">
      <c r="A6" s="406"/>
      <c r="B6" s="407"/>
      <c r="C6" s="3423" t="s">
        <v>2541</v>
      </c>
      <c r="D6" s="3346"/>
      <c r="E6" s="3425" t="s">
        <v>2541</v>
      </c>
      <c r="F6" s="3353"/>
      <c r="G6" s="3423" t="s">
        <v>2541</v>
      </c>
      <c r="H6" s="3346"/>
      <c r="I6" s="3423" t="s">
        <v>2541</v>
      </c>
      <c r="J6" s="3346"/>
      <c r="K6" s="610" t="s">
        <v>2542</v>
      </c>
      <c r="L6" s="1130"/>
      <c r="M6" s="1131"/>
      <c r="N6" s="1131"/>
      <c r="O6" s="1131"/>
      <c r="P6" s="3337"/>
      <c r="Q6" s="3338"/>
      <c r="R6" s="3341"/>
      <c r="S6" s="3342"/>
      <c r="T6" s="3343"/>
      <c r="U6" s="3344"/>
      <c r="V6" s="3326"/>
      <c r="W6" s="3326"/>
      <c r="X6" s="1813"/>
      <c r="Y6" s="3343"/>
      <c r="Z6" s="3344"/>
      <c r="AA6" s="3329"/>
      <c r="AB6" s="3329"/>
      <c r="AC6" s="3329"/>
    </row>
    <row r="7" spans="1:29" s="117" customFormat="1" ht="15.75" thickBot="1">
      <c r="A7" s="408" t="s">
        <v>2543</v>
      </c>
      <c r="B7" s="409"/>
      <c r="C7" s="410">
        <f>'数据-取费表'!B2</f>
        <v>43111</v>
      </c>
      <c r="D7" s="411">
        <v>100</v>
      </c>
      <c r="E7" s="412"/>
      <c r="F7" s="413">
        <f>SUMIF(46:46,YEAR(E7)&amp;"-"&amp;MONTH(E7),47:47)</f>
        <v>0</v>
      </c>
      <c r="G7" s="2692"/>
      <c r="H7" s="411">
        <f>SUMIF(46:46,YEAR(G7)&amp;"-"&amp;MONTH(G7),47:47)</f>
        <v>0</v>
      </c>
      <c r="I7" s="412"/>
      <c r="J7" s="411">
        <f>SUMIF(46:46,YEAR(I7)&amp;"-"&amp;MONTH(I7),47:47)</f>
        <v>0</v>
      </c>
      <c r="K7" s="611"/>
      <c r="L7" s="1132"/>
      <c r="M7" s="1133"/>
      <c r="N7" s="1133"/>
      <c r="O7" s="1133"/>
      <c r="P7" s="3349" t="s">
        <v>2544</v>
      </c>
      <c r="Q7" s="3351"/>
      <c r="R7" s="770" t="s">
        <v>17</v>
      </c>
      <c r="S7" s="771">
        <f t="shared" ref="S7:S14" si="0">F7</f>
        <v>0</v>
      </c>
      <c r="T7" s="770" t="s">
        <v>17</v>
      </c>
      <c r="U7" s="771">
        <f t="shared" ref="U7:U14" si="1">H7</f>
        <v>0</v>
      </c>
      <c r="V7" s="770" t="s">
        <v>17</v>
      </c>
      <c r="W7" s="771">
        <f t="shared" ref="W7:W14" si="2">J7</f>
        <v>0</v>
      </c>
      <c r="X7" s="772"/>
      <c r="Y7" s="3349" t="s">
        <v>2544</v>
      </c>
      <c r="Z7" s="3350"/>
      <c r="AA7" s="773" t="e">
        <f>D7/F7</f>
        <v>#DIV/0!</v>
      </c>
      <c r="AB7" s="773" t="e">
        <f>D7/H7</f>
        <v>#DIV/0!</v>
      </c>
      <c r="AC7" s="773" t="e">
        <f>D7/J7</f>
        <v>#DIV/0!</v>
      </c>
    </row>
    <row r="8" spans="1:29" s="117" customFormat="1" ht="15.75" thickBot="1">
      <c r="A8" s="408" t="s">
        <v>2545</v>
      </c>
      <c r="B8" s="409"/>
      <c r="C8" s="414" t="s">
        <v>2647</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349" t="s">
        <v>2547</v>
      </c>
      <c r="Q8" s="3350"/>
      <c r="R8" s="770" t="s">
        <v>17</v>
      </c>
      <c r="S8" s="771">
        <f t="shared" si="0"/>
        <v>0</v>
      </c>
      <c r="T8" s="770" t="s">
        <v>17</v>
      </c>
      <c r="U8" s="771">
        <f t="shared" si="1"/>
        <v>0</v>
      </c>
      <c r="V8" s="770" t="s">
        <v>17</v>
      </c>
      <c r="W8" s="771">
        <f t="shared" si="2"/>
        <v>0</v>
      </c>
      <c r="X8" s="772"/>
      <c r="Y8" s="3349" t="s">
        <v>2547</v>
      </c>
      <c r="Z8" s="3350"/>
      <c r="AA8" s="773" t="e">
        <f t="shared" ref="AA8:AA34" si="3">D8/F8</f>
        <v>#DIV/0!</v>
      </c>
      <c r="AB8" s="773" t="e">
        <f t="shared" ref="AB8:AB34" si="4">D8/H8</f>
        <v>#DIV/0!</v>
      </c>
      <c r="AC8" s="773" t="e">
        <f t="shared" ref="AC8:AC34" si="5">D8/J8</f>
        <v>#DIV/0!</v>
      </c>
    </row>
    <row r="9" spans="1:29" s="117" customFormat="1">
      <c r="A9" s="415" t="s">
        <v>2548</v>
      </c>
      <c r="B9" s="71" t="s">
        <v>2549</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320" t="s">
        <v>2550</v>
      </c>
      <c r="Q9" s="1795" t="str">
        <f t="shared" ref="Q9:Q14" si="6">B9</f>
        <v>用途</v>
      </c>
      <c r="R9" s="770" t="s">
        <v>17</v>
      </c>
      <c r="S9" s="771">
        <f t="shared" si="0"/>
        <v>100</v>
      </c>
      <c r="T9" s="770" t="s">
        <v>17</v>
      </c>
      <c r="U9" s="771">
        <f t="shared" si="1"/>
        <v>100</v>
      </c>
      <c r="V9" s="770" t="s">
        <v>17</v>
      </c>
      <c r="W9" s="771">
        <f t="shared" si="2"/>
        <v>100</v>
      </c>
      <c r="X9" s="772"/>
      <c r="Y9" s="3151" t="s">
        <v>2551</v>
      </c>
      <c r="Z9" s="55" t="str">
        <f t="shared" ref="Z9:Z14" si="7">Q9</f>
        <v>用途</v>
      </c>
      <c r="AA9" s="773">
        <f t="shared" si="3"/>
        <v>1</v>
      </c>
      <c r="AB9" s="773">
        <f t="shared" si="4"/>
        <v>1</v>
      </c>
      <c r="AC9" s="773">
        <f t="shared" si="5"/>
        <v>1</v>
      </c>
    </row>
    <row r="10" spans="1:29" s="427" customFormat="1" ht="27">
      <c r="A10" s="421"/>
      <c r="B10" s="422" t="s">
        <v>2552</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320"/>
      <c r="Q10" s="1795" t="str">
        <f t="shared" si="6"/>
        <v>土地使用年限（年）</v>
      </c>
      <c r="R10" s="770" t="s">
        <v>17</v>
      </c>
      <c r="S10" s="771">
        <f t="shared" si="0"/>
        <v>100</v>
      </c>
      <c r="T10" s="770" t="s">
        <v>17</v>
      </c>
      <c r="U10" s="771">
        <f t="shared" si="1"/>
        <v>100</v>
      </c>
      <c r="V10" s="770" t="s">
        <v>17</v>
      </c>
      <c r="W10" s="771">
        <f t="shared" si="2"/>
        <v>100</v>
      </c>
      <c r="X10" s="772"/>
      <c r="Y10" s="3151"/>
      <c r="Z10" s="55" t="str">
        <f t="shared" si="7"/>
        <v>土地使用年限（年）</v>
      </c>
      <c r="AA10" s="773">
        <f t="shared" si="3"/>
        <v>1</v>
      </c>
      <c r="AB10" s="773">
        <f t="shared" si="4"/>
        <v>1</v>
      </c>
      <c r="AC10" s="773">
        <f t="shared" si="5"/>
        <v>1</v>
      </c>
    </row>
    <row r="11" spans="1:29" ht="15">
      <c r="A11" s="428"/>
      <c r="B11" s="2597">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320"/>
      <c r="Q11" s="1795">
        <f t="shared" si="6"/>
        <v>111</v>
      </c>
      <c r="R11" s="770" t="s">
        <v>17</v>
      </c>
      <c r="S11" s="771">
        <f t="shared" si="0"/>
        <v>100</v>
      </c>
      <c r="T11" s="770" t="s">
        <v>17</v>
      </c>
      <c r="U11" s="771">
        <f t="shared" si="1"/>
        <v>100</v>
      </c>
      <c r="V11" s="770" t="s">
        <v>17</v>
      </c>
      <c r="W11" s="771">
        <f t="shared" si="2"/>
        <v>100</v>
      </c>
      <c r="X11" s="772"/>
      <c r="Y11" s="3151"/>
      <c r="Z11" s="55">
        <f t="shared" si="7"/>
        <v>111</v>
      </c>
      <c r="AA11" s="773">
        <f t="shared" si="3"/>
        <v>1</v>
      </c>
      <c r="AB11" s="773">
        <f t="shared" si="4"/>
        <v>1</v>
      </c>
      <c r="AC11" s="773">
        <f t="shared" si="5"/>
        <v>1</v>
      </c>
    </row>
    <row r="12" spans="1:29" s="117" customFormat="1" ht="15">
      <c r="A12" s="431"/>
      <c r="B12" s="2597">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320"/>
      <c r="Q12" s="1795">
        <f t="shared" si="6"/>
        <v>111</v>
      </c>
      <c r="R12" s="770" t="s">
        <v>17</v>
      </c>
      <c r="S12" s="771">
        <f t="shared" si="0"/>
        <v>100</v>
      </c>
      <c r="T12" s="770" t="s">
        <v>17</v>
      </c>
      <c r="U12" s="771">
        <f t="shared" si="1"/>
        <v>100</v>
      </c>
      <c r="V12" s="770" t="s">
        <v>17</v>
      </c>
      <c r="W12" s="771">
        <f t="shared" si="2"/>
        <v>100</v>
      </c>
      <c r="X12" s="772"/>
      <c r="Y12" s="3151"/>
      <c r="Z12" s="55">
        <f t="shared" si="7"/>
        <v>111</v>
      </c>
      <c r="AA12" s="773">
        <f>D12/F12</f>
        <v>1</v>
      </c>
      <c r="AB12" s="773">
        <f>D12/H12</f>
        <v>1</v>
      </c>
      <c r="AC12" s="773">
        <f>D12/J12</f>
        <v>1</v>
      </c>
    </row>
    <row r="13" spans="1:29" ht="15.75" thickBot="1">
      <c r="A13" s="428"/>
      <c r="B13" s="2597">
        <v>111</v>
      </c>
      <c r="C13" s="434"/>
      <c r="D13" s="435">
        <v>100</v>
      </c>
      <c r="E13" s="469"/>
      <c r="F13" s="425">
        <f>SUMIF(59:59,E13,60:60)-SUMIF(59:59,C13,60:60)+100</f>
        <v>100</v>
      </c>
      <c r="G13" s="2693"/>
      <c r="H13" s="438">
        <f>SUMIF(59:59,G13,60:60)-SUMIF(59:59,C13,60:60)+100</f>
        <v>100</v>
      </c>
      <c r="I13" s="469"/>
      <c r="J13" s="435">
        <f>SUMIF(59:59,I13,60:60)-SUMIF(59:59,C13,60:60)+100</f>
        <v>100</v>
      </c>
      <c r="K13" s="613"/>
      <c r="L13" s="1140"/>
      <c r="M13" s="1131"/>
      <c r="N13" s="1131"/>
      <c r="O13" s="1139"/>
      <c r="P13" s="3320"/>
      <c r="Q13" s="1795">
        <f t="shared" si="6"/>
        <v>111</v>
      </c>
      <c r="R13" s="770" t="s">
        <v>17</v>
      </c>
      <c r="S13" s="771">
        <f t="shared" si="0"/>
        <v>100</v>
      </c>
      <c r="T13" s="770" t="s">
        <v>17</v>
      </c>
      <c r="U13" s="771">
        <f t="shared" si="1"/>
        <v>100</v>
      </c>
      <c r="V13" s="770" t="s">
        <v>17</v>
      </c>
      <c r="W13" s="771">
        <f t="shared" si="2"/>
        <v>100</v>
      </c>
      <c r="X13" s="772"/>
      <c r="Y13" s="3151"/>
      <c r="Z13" s="55">
        <f t="shared" si="7"/>
        <v>111</v>
      </c>
      <c r="AA13" s="773">
        <f t="shared" si="3"/>
        <v>1</v>
      </c>
      <c r="AB13" s="773">
        <f t="shared" si="4"/>
        <v>1</v>
      </c>
      <c r="AC13" s="773">
        <f t="shared" si="5"/>
        <v>1</v>
      </c>
    </row>
    <row r="14" spans="1:29" ht="128.25">
      <c r="A14" s="440" t="s">
        <v>2554</v>
      </c>
      <c r="B14" s="69" t="s">
        <v>2704</v>
      </c>
      <c r="C14" s="2689" t="str">
        <f>IF(B1="工业",估价对象房地状况!G4,估价对象房地状况!C6)</f>
        <v>估价对象多面临街，周边道路路网较为密集，公共交通通达情况较好，有417、533路等、停车便捷程度较好，综合评价交通便捷度较好。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322" t="s">
        <v>2555</v>
      </c>
      <c r="Q14" s="1810" t="str">
        <f t="shared" si="6"/>
        <v>交通便捷度</v>
      </c>
      <c r="R14" s="774" t="s">
        <v>17</v>
      </c>
      <c r="S14" s="775">
        <f t="shared" si="0"/>
        <v>100</v>
      </c>
      <c r="T14" s="774" t="s">
        <v>17</v>
      </c>
      <c r="U14" s="775">
        <f t="shared" si="1"/>
        <v>100</v>
      </c>
      <c r="V14" s="774" t="s">
        <v>17</v>
      </c>
      <c r="W14" s="775">
        <f t="shared" si="2"/>
        <v>100</v>
      </c>
      <c r="X14" s="1813"/>
      <c r="Y14" s="3322" t="s">
        <v>2555</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323"/>
      <c r="Q15" s="1810"/>
      <c r="R15" s="774"/>
      <c r="S15" s="775"/>
      <c r="T15" s="774"/>
      <c r="U15" s="775"/>
      <c r="V15" s="774"/>
      <c r="W15" s="775"/>
      <c r="X15" s="1813"/>
      <c r="Y15" s="3323"/>
      <c r="Z15" s="1814"/>
      <c r="AA15" s="1811">
        <v>1</v>
      </c>
      <c r="AB15" s="1811">
        <v>1</v>
      </c>
      <c r="AC15" s="1811">
        <v>1</v>
      </c>
    </row>
    <row r="16" spans="1:29" ht="213.75">
      <c r="A16" s="428"/>
      <c r="B16" s="451" t="s">
        <v>2683</v>
      </c>
      <c r="C16" s="2604" t="str">
        <f>IF(B1="工业",估价对象房地状况!G5,估价对象房地状况!C7)</f>
        <v>估价对象所在区域2公里范围内有：银行（中国银行、北京农村商业银行），购物（物联隆超市、超市发超市）、医院（北七家社区卫生服务中心），学校（北京市晨星学校、伊顿双语幼儿园），餐饮等，公共配套设施齐备情况较好。</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323"/>
      <c r="Q16" s="1810" t="str">
        <f>B16</f>
        <v>公共配套设施</v>
      </c>
      <c r="R16" s="774" t="s">
        <v>17</v>
      </c>
      <c r="S16" s="775">
        <f>F16</f>
        <v>100</v>
      </c>
      <c r="T16" s="774" t="s">
        <v>17</v>
      </c>
      <c r="U16" s="775">
        <f>H16</f>
        <v>100</v>
      </c>
      <c r="V16" s="774" t="s">
        <v>17</v>
      </c>
      <c r="W16" s="775">
        <f>J16</f>
        <v>100</v>
      </c>
      <c r="X16" s="1813"/>
      <c r="Y16" s="3323"/>
      <c r="Z16" s="1814" t="str">
        <f>Q16</f>
        <v>公共配套设施</v>
      </c>
      <c r="AA16" s="1811">
        <f t="shared" si="3"/>
        <v>1</v>
      </c>
      <c r="AB16" s="1811">
        <f t="shared" si="4"/>
        <v>1</v>
      </c>
      <c r="AC16" s="1811">
        <f t="shared" si="5"/>
        <v>1</v>
      </c>
    </row>
    <row r="17" spans="1:29" ht="15">
      <c r="A17" s="428"/>
      <c r="B17" s="456"/>
      <c r="C17" s="2605"/>
      <c r="D17" s="448"/>
      <c r="E17" s="447"/>
      <c r="F17" s="449"/>
      <c r="G17" s="447"/>
      <c r="H17" s="448"/>
      <c r="I17" s="447"/>
      <c r="J17" s="448"/>
      <c r="K17" s="615"/>
      <c r="L17" s="1140"/>
      <c r="M17" s="1131"/>
      <c r="N17" s="1131"/>
      <c r="O17" s="1139"/>
      <c r="P17" s="3323"/>
      <c r="Q17" s="1810"/>
      <c r="R17" s="774"/>
      <c r="S17" s="775"/>
      <c r="T17" s="774"/>
      <c r="U17" s="775"/>
      <c r="V17" s="774"/>
      <c r="W17" s="775"/>
      <c r="X17" s="1813"/>
      <c r="Y17" s="3323"/>
      <c r="Z17" s="1814"/>
      <c r="AA17" s="1811">
        <v>1</v>
      </c>
      <c r="AB17" s="1811">
        <v>1</v>
      </c>
      <c r="AC17" s="1811">
        <v>1</v>
      </c>
    </row>
    <row r="18" spans="1:29" ht="42.75">
      <c r="A18" s="428"/>
      <c r="B18" s="1384" t="s">
        <v>2684</v>
      </c>
      <c r="C18" s="2604" t="str">
        <f>IF(B1="工业",估价对象房地状况!G6,估价对象房地状况!C8)</f>
        <v>估价对象所在区域基础设施水平达到“七通”。</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323"/>
      <c r="Q18" s="1810" t="str">
        <f>B18</f>
        <v>基础设施水平</v>
      </c>
      <c r="R18" s="774" t="s">
        <v>17</v>
      </c>
      <c r="S18" s="775">
        <f>F18</f>
        <v>100</v>
      </c>
      <c r="T18" s="774" t="s">
        <v>17</v>
      </c>
      <c r="U18" s="775">
        <f>H18</f>
        <v>100</v>
      </c>
      <c r="V18" s="774" t="s">
        <v>17</v>
      </c>
      <c r="W18" s="775">
        <f>J18</f>
        <v>100</v>
      </c>
      <c r="X18" s="1813"/>
      <c r="Y18" s="3323"/>
      <c r="Z18" s="1814" t="str">
        <f>Q18</f>
        <v>基础设施水平</v>
      </c>
      <c r="AA18" s="1811">
        <f t="shared" ref="AA18" si="8">D18/F18</f>
        <v>1</v>
      </c>
      <c r="AB18" s="1811">
        <f t="shared" ref="AB18" si="9">D18/H18</f>
        <v>1</v>
      </c>
      <c r="AC18" s="1811">
        <f t="shared" ref="AC18" si="10">D18/J18</f>
        <v>1</v>
      </c>
    </row>
    <row r="19" spans="1:29" ht="15">
      <c r="A19" s="428"/>
      <c r="B19" s="1384"/>
      <c r="C19" s="2605"/>
      <c r="D19" s="450"/>
      <c r="E19" s="2605"/>
      <c r="F19" s="453"/>
      <c r="G19" s="2605"/>
      <c r="H19" s="448"/>
      <c r="I19" s="447"/>
      <c r="J19" s="448"/>
      <c r="K19" s="1383"/>
      <c r="L19" s="1140"/>
      <c r="M19" s="1131"/>
      <c r="N19" s="1131"/>
      <c r="O19" s="1139"/>
      <c r="P19" s="3323"/>
      <c r="Q19" s="1810"/>
      <c r="R19" s="774"/>
      <c r="S19" s="775"/>
      <c r="T19" s="774"/>
      <c r="U19" s="775"/>
      <c r="V19" s="774"/>
      <c r="W19" s="775"/>
      <c r="X19" s="1813"/>
      <c r="Y19" s="3323"/>
      <c r="Z19" s="1814"/>
      <c r="AA19" s="1811">
        <v>1</v>
      </c>
      <c r="AB19" s="1811">
        <v>1</v>
      </c>
      <c r="AC19" s="1811">
        <v>1</v>
      </c>
    </row>
    <row r="20" spans="1:29" ht="99.75">
      <c r="A20" s="428"/>
      <c r="B20" s="451" t="s">
        <v>2705</v>
      </c>
      <c r="C20" s="2604" t="str">
        <f>IF(B1="工业",估价对象房地状况!G7,估价对象房地状况!C9)</f>
        <v>区域自然环境：未来科技城滨河公园；人文环境：无展览馆、博物馆等；综合评价环境状况一般。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323"/>
      <c r="Q20" s="1810" t="str">
        <f>B20</f>
        <v>自然及人文环境</v>
      </c>
      <c r="R20" s="774" t="s">
        <v>17</v>
      </c>
      <c r="S20" s="775">
        <f>F20</f>
        <v>100</v>
      </c>
      <c r="T20" s="774" t="s">
        <v>17</v>
      </c>
      <c r="U20" s="775">
        <f>H20</f>
        <v>100</v>
      </c>
      <c r="V20" s="774" t="s">
        <v>17</v>
      </c>
      <c r="W20" s="775">
        <f>J20</f>
        <v>100</v>
      </c>
      <c r="X20" s="1813"/>
      <c r="Y20" s="3323"/>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323"/>
      <c r="Q21" s="1810"/>
      <c r="R21" s="774"/>
      <c r="S21" s="775"/>
      <c r="T21" s="774"/>
      <c r="U21" s="775"/>
      <c r="V21" s="774"/>
      <c r="W21" s="775"/>
      <c r="X21" s="1813"/>
      <c r="Y21" s="3323"/>
      <c r="Z21" s="1814"/>
      <c r="AA21" s="1811">
        <v>1</v>
      </c>
      <c r="AB21" s="1811">
        <v>1</v>
      </c>
      <c r="AC21" s="1811">
        <v>1</v>
      </c>
    </row>
    <row r="22" spans="1:29" ht="15">
      <c r="A22" s="428"/>
      <c r="B22" s="451" t="s">
        <v>2706</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323"/>
      <c r="Q22" s="1810" t="str">
        <f>B22</f>
        <v>楼层</v>
      </c>
      <c r="R22" s="774" t="s">
        <v>17</v>
      </c>
      <c r="S22" s="775">
        <f>F22</f>
        <v>100</v>
      </c>
      <c r="T22" s="774" t="s">
        <v>17</v>
      </c>
      <c r="U22" s="775">
        <f>H22</f>
        <v>100</v>
      </c>
      <c r="V22" s="774" t="s">
        <v>17</v>
      </c>
      <c r="W22" s="775">
        <f>J22</f>
        <v>100</v>
      </c>
      <c r="X22" s="1813"/>
      <c r="Y22" s="3323"/>
      <c r="Z22" s="1814" t="str">
        <f>Q22</f>
        <v>楼层</v>
      </c>
      <c r="AA22" s="1811">
        <f t="shared" si="3"/>
        <v>1</v>
      </c>
      <c r="AB22" s="1811">
        <f t="shared" si="4"/>
        <v>1</v>
      </c>
      <c r="AC22" s="1811">
        <f t="shared" si="5"/>
        <v>1</v>
      </c>
    </row>
    <row r="23" spans="1:29" ht="15">
      <c r="A23" s="404"/>
      <c r="B23" s="2597">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323"/>
      <c r="Q23" s="1810">
        <f>B23</f>
        <v>111</v>
      </c>
      <c r="R23" s="774" t="s">
        <v>17</v>
      </c>
      <c r="S23" s="775">
        <f>F23</f>
        <v>100</v>
      </c>
      <c r="T23" s="774" t="s">
        <v>17</v>
      </c>
      <c r="U23" s="775">
        <f>H23</f>
        <v>100</v>
      </c>
      <c r="V23" s="774" t="s">
        <v>17</v>
      </c>
      <c r="W23" s="775">
        <f>J23</f>
        <v>100</v>
      </c>
      <c r="X23" s="1813"/>
      <c r="Y23" s="3323"/>
      <c r="Z23" s="1814">
        <f>Q23</f>
        <v>111</v>
      </c>
      <c r="AA23" s="1811">
        <f t="shared" si="3"/>
        <v>1</v>
      </c>
      <c r="AB23" s="1811">
        <f t="shared" si="4"/>
        <v>1</v>
      </c>
      <c r="AC23" s="1811">
        <f t="shared" si="5"/>
        <v>1</v>
      </c>
    </row>
    <row r="24" spans="1:29" ht="15">
      <c r="A24" s="428"/>
      <c r="B24" s="2597">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323"/>
      <c r="Q24" s="1810">
        <f t="shared" ref="Q24:Q34" si="11">B24</f>
        <v>111</v>
      </c>
      <c r="R24" s="774" t="s">
        <v>17</v>
      </c>
      <c r="S24" s="775">
        <f>F24</f>
        <v>100</v>
      </c>
      <c r="T24" s="774" t="s">
        <v>17</v>
      </c>
      <c r="U24" s="775">
        <f>H24</f>
        <v>100</v>
      </c>
      <c r="V24" s="774" t="s">
        <v>17</v>
      </c>
      <c r="W24" s="775">
        <f>J24</f>
        <v>100</v>
      </c>
      <c r="X24" s="1813"/>
      <c r="Y24" s="3323"/>
      <c r="Z24" s="1814">
        <f>Q24</f>
        <v>111</v>
      </c>
      <c r="AA24" s="1811">
        <f t="shared" si="3"/>
        <v>1</v>
      </c>
      <c r="AB24" s="1811">
        <f t="shared" si="4"/>
        <v>1</v>
      </c>
      <c r="AC24" s="1811">
        <f t="shared" si="5"/>
        <v>1</v>
      </c>
    </row>
    <row r="25" spans="1:29" s="117" customFormat="1" ht="15.75" thickBot="1">
      <c r="A25" s="431"/>
      <c r="B25" s="2597">
        <v>111</v>
      </c>
      <c r="C25" s="2694"/>
      <c r="D25" s="665">
        <v>100</v>
      </c>
      <c r="E25" s="2694"/>
      <c r="F25" s="666">
        <f>SUMIF(75:75,E25,76:76)-SUMIF(75:75,C25,76:76)+100</f>
        <v>100</v>
      </c>
      <c r="G25" s="2694"/>
      <c r="H25" s="665">
        <f>SUMIF(75:75,G25,76:76)-SUMIF(75:75,C25,76:76)+100</f>
        <v>100</v>
      </c>
      <c r="I25" s="2694"/>
      <c r="J25" s="665">
        <f>SUMIF(75:75,I25,76:76)-SUMIF(75:75,C25,76:76)+100</f>
        <v>100</v>
      </c>
      <c r="K25" s="613"/>
      <c r="L25" s="1132"/>
      <c r="M25" s="1133"/>
      <c r="N25" s="1133"/>
      <c r="O25" s="1134"/>
      <c r="P25" s="3323"/>
      <c r="Q25" s="1795">
        <f t="shared" si="11"/>
        <v>111</v>
      </c>
      <c r="R25" s="770" t="s">
        <v>17</v>
      </c>
      <c r="S25" s="771">
        <f>F25</f>
        <v>100</v>
      </c>
      <c r="T25" s="770" t="s">
        <v>17</v>
      </c>
      <c r="U25" s="771">
        <f>H25</f>
        <v>100</v>
      </c>
      <c r="V25" s="770" t="s">
        <v>17</v>
      </c>
      <c r="W25" s="771">
        <f>J25</f>
        <v>100</v>
      </c>
      <c r="X25" s="772"/>
      <c r="Y25" s="3323"/>
      <c r="Z25" s="55">
        <f>Q25</f>
        <v>111</v>
      </c>
      <c r="AA25" s="1811">
        <f>D25/F25</f>
        <v>1</v>
      </c>
      <c r="AB25" s="1811">
        <f>D25/H25</f>
        <v>1</v>
      </c>
      <c r="AC25" s="1811">
        <f>D25/J25</f>
        <v>1</v>
      </c>
    </row>
    <row r="26" spans="1:29" ht="15">
      <c r="A26" s="466" t="s">
        <v>2558</v>
      </c>
      <c r="B26" s="71" t="s">
        <v>2709</v>
      </c>
      <c r="C26" s="2675"/>
      <c r="D26" s="467">
        <v>100</v>
      </c>
      <c r="E26" s="2675"/>
      <c r="F26" s="667">
        <f>SUMIF(77:77,E26,78:78)-SUMIF(77:77,C26,78:78)+100</f>
        <v>100</v>
      </c>
      <c r="G26" s="2675"/>
      <c r="H26" s="467">
        <f>SUMIF(77:77,G26,78:78)-SUMIF(77:77,C26,78:78)+100</f>
        <v>100</v>
      </c>
      <c r="I26" s="2675"/>
      <c r="J26" s="467">
        <f>SUMIF(77:77,I26,78:78)-SUMIF(77:77,C26,78:78)+100</f>
        <v>100</v>
      </c>
      <c r="K26" s="612"/>
      <c r="L26" s="1140"/>
      <c r="M26" s="1131"/>
      <c r="N26" s="1131"/>
      <c r="O26" s="1139"/>
      <c r="P26" s="3324" t="s">
        <v>2560</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325" t="s">
        <v>2560</v>
      </c>
      <c r="Z26" s="1814" t="str">
        <f t="shared" ref="Z26:Z34" si="15">Q26</f>
        <v>公共部分装修</v>
      </c>
      <c r="AA26" s="1811">
        <f t="shared" si="3"/>
        <v>1</v>
      </c>
      <c r="AB26" s="1811">
        <f t="shared" si="4"/>
        <v>1</v>
      </c>
      <c r="AC26" s="1811">
        <f t="shared" si="5"/>
        <v>1</v>
      </c>
    </row>
    <row r="27" spans="1:29" s="471" customFormat="1" ht="15">
      <c r="A27" s="468"/>
      <c r="B27" s="422" t="s">
        <v>2710</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325"/>
      <c r="Q27" s="776" t="str">
        <f t="shared" si="11"/>
        <v>成新率</v>
      </c>
      <c r="R27" s="777" t="s">
        <v>17</v>
      </c>
      <c r="S27" s="778" t="e">
        <f t="shared" si="12"/>
        <v>#N/A</v>
      </c>
      <c r="T27" s="777" t="s">
        <v>17</v>
      </c>
      <c r="U27" s="778" t="e">
        <f t="shared" si="13"/>
        <v>#N/A</v>
      </c>
      <c r="V27" s="777" t="s">
        <v>17</v>
      </c>
      <c r="W27" s="778" t="e">
        <f t="shared" si="14"/>
        <v>#N/A</v>
      </c>
      <c r="X27" s="779"/>
      <c r="Y27" s="3325"/>
      <c r="Z27" s="780" t="str">
        <f t="shared" si="15"/>
        <v>成新率</v>
      </c>
      <c r="AA27" s="1811" t="e">
        <f t="shared" si="3"/>
        <v>#N/A</v>
      </c>
      <c r="AB27" s="1811" t="e">
        <f t="shared" si="4"/>
        <v>#N/A</v>
      </c>
      <c r="AC27" s="1811" t="e">
        <f t="shared" si="5"/>
        <v>#N/A</v>
      </c>
    </row>
    <row r="28" spans="1:29" ht="15">
      <c r="A28" s="472"/>
      <c r="B28" s="422" t="s">
        <v>2711</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325"/>
      <c r="Q28" s="1810" t="str">
        <f t="shared" si="11"/>
        <v>物业等级</v>
      </c>
      <c r="R28" s="774" t="s">
        <v>17</v>
      </c>
      <c r="S28" s="775">
        <f t="shared" si="12"/>
        <v>100</v>
      </c>
      <c r="T28" s="774" t="s">
        <v>17</v>
      </c>
      <c r="U28" s="775">
        <f t="shared" si="13"/>
        <v>100</v>
      </c>
      <c r="V28" s="774" t="s">
        <v>17</v>
      </c>
      <c r="W28" s="775">
        <f t="shared" si="14"/>
        <v>100</v>
      </c>
      <c r="X28" s="1813"/>
      <c r="Y28" s="3325"/>
      <c r="Z28" s="1814" t="str">
        <f t="shared" si="15"/>
        <v>物业等级</v>
      </c>
      <c r="AA28" s="1811">
        <f t="shared" si="3"/>
        <v>1</v>
      </c>
      <c r="AB28" s="1811">
        <f t="shared" si="4"/>
        <v>1</v>
      </c>
      <c r="AC28" s="1811">
        <f t="shared" si="5"/>
        <v>1</v>
      </c>
    </row>
    <row r="29" spans="1:29" ht="15">
      <c r="A29" s="472"/>
      <c r="B29" s="422" t="s">
        <v>2732</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325"/>
      <c r="Q29" s="1810" t="str">
        <f t="shared" si="11"/>
        <v>有无电梯</v>
      </c>
      <c r="R29" s="774" t="s">
        <v>17</v>
      </c>
      <c r="S29" s="775">
        <f t="shared" si="12"/>
        <v>100</v>
      </c>
      <c r="T29" s="774" t="s">
        <v>17</v>
      </c>
      <c r="U29" s="775">
        <f t="shared" si="13"/>
        <v>100</v>
      </c>
      <c r="V29" s="774" t="s">
        <v>17</v>
      </c>
      <c r="W29" s="775">
        <f t="shared" si="14"/>
        <v>100</v>
      </c>
      <c r="X29" s="1813"/>
      <c r="Y29" s="3325"/>
      <c r="Z29" s="1814" t="str">
        <f t="shared" si="15"/>
        <v>有无电梯</v>
      </c>
      <c r="AA29" s="1811">
        <f t="shared" si="3"/>
        <v>1</v>
      </c>
      <c r="AB29" s="1811">
        <f t="shared" si="4"/>
        <v>1</v>
      </c>
      <c r="AC29" s="1811">
        <f t="shared" si="5"/>
        <v>1</v>
      </c>
    </row>
    <row r="30" spans="1:29" ht="15">
      <c r="A30" s="472"/>
      <c r="B30" s="422" t="s">
        <v>2733</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325"/>
      <c r="Q30" s="1810" t="str">
        <f t="shared" si="11"/>
        <v>建筑面积</v>
      </c>
      <c r="R30" s="774" t="s">
        <v>17</v>
      </c>
      <c r="S30" s="775" t="e">
        <f t="shared" si="12"/>
        <v>#N/A</v>
      </c>
      <c r="T30" s="774" t="s">
        <v>17</v>
      </c>
      <c r="U30" s="775" t="e">
        <f t="shared" si="13"/>
        <v>#N/A</v>
      </c>
      <c r="V30" s="774" t="s">
        <v>17</v>
      </c>
      <c r="W30" s="775" t="e">
        <f t="shared" si="14"/>
        <v>#N/A</v>
      </c>
      <c r="X30" s="1813"/>
      <c r="Y30" s="3325"/>
      <c r="Z30" s="1814" t="str">
        <f t="shared" si="15"/>
        <v>建筑面积</v>
      </c>
      <c r="AA30" s="1811" t="e">
        <f t="shared" si="3"/>
        <v>#N/A</v>
      </c>
      <c r="AB30" s="1811" t="e">
        <f t="shared" si="4"/>
        <v>#N/A</v>
      </c>
      <c r="AC30" s="1811" t="e">
        <f t="shared" si="5"/>
        <v>#N/A</v>
      </c>
    </row>
    <row r="31" spans="1:29" s="117" customFormat="1" ht="15">
      <c r="A31" s="473"/>
      <c r="B31" s="422" t="s">
        <v>2734</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325"/>
      <c r="Q31" s="1795" t="str">
        <f t="shared" si="11"/>
        <v>是否封闭</v>
      </c>
      <c r="R31" s="770" t="s">
        <v>17</v>
      </c>
      <c r="S31" s="771">
        <f t="shared" si="12"/>
        <v>100</v>
      </c>
      <c r="T31" s="770" t="s">
        <v>17</v>
      </c>
      <c r="U31" s="771">
        <f t="shared" si="13"/>
        <v>100</v>
      </c>
      <c r="V31" s="770" t="s">
        <v>17</v>
      </c>
      <c r="W31" s="771">
        <f t="shared" si="14"/>
        <v>100</v>
      </c>
      <c r="X31" s="772"/>
      <c r="Y31" s="3325"/>
      <c r="Z31" s="55" t="str">
        <f t="shared" si="15"/>
        <v>是否封闭</v>
      </c>
      <c r="AA31" s="773">
        <f t="shared" si="3"/>
        <v>1</v>
      </c>
      <c r="AB31" s="773">
        <f t="shared" si="4"/>
        <v>1</v>
      </c>
      <c r="AC31" s="773">
        <f t="shared" si="5"/>
        <v>1</v>
      </c>
    </row>
    <row r="32" spans="1:29" ht="15">
      <c r="A32" s="472"/>
      <c r="B32" s="2597">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325" t="s">
        <v>2560</v>
      </c>
      <c r="Q32" s="1810">
        <f t="shared" si="11"/>
        <v>111</v>
      </c>
      <c r="R32" s="774" t="s">
        <v>17</v>
      </c>
      <c r="S32" s="775">
        <f t="shared" si="12"/>
        <v>100</v>
      </c>
      <c r="T32" s="774" t="s">
        <v>17</v>
      </c>
      <c r="U32" s="775">
        <f t="shared" si="13"/>
        <v>100</v>
      </c>
      <c r="V32" s="774" t="s">
        <v>17</v>
      </c>
      <c r="W32" s="775">
        <f t="shared" si="14"/>
        <v>100</v>
      </c>
      <c r="X32" s="1813"/>
      <c r="Y32" s="3325" t="s">
        <v>2560</v>
      </c>
      <c r="Z32" s="1814">
        <f t="shared" si="15"/>
        <v>111</v>
      </c>
      <c r="AA32" s="1811">
        <f t="shared" si="3"/>
        <v>1</v>
      </c>
      <c r="AB32" s="1811">
        <f t="shared" si="4"/>
        <v>1</v>
      </c>
      <c r="AC32" s="1811">
        <f t="shared" si="5"/>
        <v>1</v>
      </c>
    </row>
    <row r="33" spans="1:29" ht="15">
      <c r="A33" s="472"/>
      <c r="B33" s="2597">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325"/>
      <c r="Q33" s="1810">
        <f t="shared" si="11"/>
        <v>111</v>
      </c>
      <c r="R33" s="774" t="s">
        <v>17</v>
      </c>
      <c r="S33" s="775">
        <f t="shared" si="12"/>
        <v>100</v>
      </c>
      <c r="T33" s="774" t="s">
        <v>17</v>
      </c>
      <c r="U33" s="775">
        <f t="shared" si="13"/>
        <v>100</v>
      </c>
      <c r="V33" s="774" t="s">
        <v>17</v>
      </c>
      <c r="W33" s="775">
        <f t="shared" si="14"/>
        <v>100</v>
      </c>
      <c r="X33" s="1813"/>
      <c r="Y33" s="3325"/>
      <c r="Z33" s="1814">
        <f t="shared" si="15"/>
        <v>111</v>
      </c>
      <c r="AA33" s="1811">
        <f t="shared" si="3"/>
        <v>1</v>
      </c>
      <c r="AB33" s="1811">
        <f t="shared" si="4"/>
        <v>1</v>
      </c>
      <c r="AC33" s="1811">
        <f t="shared" si="5"/>
        <v>1</v>
      </c>
    </row>
    <row r="34" spans="1:29" ht="15.75" thickBot="1">
      <c r="A34" s="478"/>
      <c r="B34" s="2599">
        <v>111</v>
      </c>
      <c r="C34" s="437"/>
      <c r="D34" s="438">
        <v>100</v>
      </c>
      <c r="E34" s="2693"/>
      <c r="F34" s="439">
        <f>SUMIF(95:95,E34,96:96)-SUMIF(95:95,C34,96:96)+100</f>
        <v>100</v>
      </c>
      <c r="G34" s="2693"/>
      <c r="H34" s="438">
        <f>SUMIF(95:95,G34,96:96)-SUMIF(95:95,C34,96:96)+100</f>
        <v>100</v>
      </c>
      <c r="I34" s="2693"/>
      <c r="J34" s="438">
        <f>SUMIF(95:95,I34,96:96)-SUMIF(95:95,C34,96:96)+100</f>
        <v>100</v>
      </c>
      <c r="K34" s="613"/>
      <c r="L34" s="1140"/>
      <c r="M34" s="1131"/>
      <c r="N34" s="1131"/>
      <c r="O34" s="1139"/>
      <c r="P34" s="3325"/>
      <c r="Q34" s="1810">
        <f t="shared" si="11"/>
        <v>111</v>
      </c>
      <c r="R34" s="774" t="s">
        <v>17</v>
      </c>
      <c r="S34" s="775">
        <f t="shared" si="12"/>
        <v>100</v>
      </c>
      <c r="T34" s="774" t="s">
        <v>17</v>
      </c>
      <c r="U34" s="775">
        <f t="shared" si="13"/>
        <v>100</v>
      </c>
      <c r="V34" s="774" t="s">
        <v>17</v>
      </c>
      <c r="W34" s="775">
        <f t="shared" si="14"/>
        <v>100</v>
      </c>
      <c r="X34" s="1813"/>
      <c r="Y34" s="3325"/>
      <c r="Z34" s="1814">
        <f t="shared" si="15"/>
        <v>111</v>
      </c>
      <c r="AA34" s="1811">
        <f t="shared" si="3"/>
        <v>1</v>
      </c>
      <c r="AB34" s="1811">
        <f t="shared" si="4"/>
        <v>1</v>
      </c>
      <c r="AC34" s="1811">
        <f t="shared" si="5"/>
        <v>1</v>
      </c>
    </row>
    <row r="35" spans="1:29" ht="15">
      <c r="A35" s="479" t="s">
        <v>2572</v>
      </c>
      <c r="B35" s="480"/>
      <c r="C35" s="1407" t="s">
        <v>1</v>
      </c>
      <c r="D35" s="1408"/>
      <c r="E35" s="1409"/>
      <c r="F35" s="1410"/>
      <c r="G35" s="1411"/>
      <c r="H35" s="1412"/>
      <c r="I35" s="1409"/>
      <c r="J35" s="1412"/>
      <c r="K35" s="783"/>
      <c r="L35" s="1143"/>
      <c r="M35" s="1144"/>
      <c r="N35" s="1131"/>
      <c r="O35" s="1144"/>
      <c r="P35" s="3320" t="str">
        <f>A35</f>
        <v>成交单价（元/平方米）</v>
      </c>
      <c r="Q35" s="3320"/>
      <c r="R35" s="3387">
        <f>E35</f>
        <v>0</v>
      </c>
      <c r="S35" s="3387"/>
      <c r="T35" s="3387">
        <f>G35</f>
        <v>0</v>
      </c>
      <c r="U35" s="3387"/>
      <c r="V35" s="3387">
        <f>I35</f>
        <v>0</v>
      </c>
      <c r="W35" s="3387"/>
      <c r="X35" s="759"/>
      <c r="Y35" s="781"/>
      <c r="Z35" s="759"/>
      <c r="AA35" s="759"/>
      <c r="AB35" s="759"/>
      <c r="AC35" s="759"/>
    </row>
    <row r="36" spans="1:29" ht="15.75" thickBot="1">
      <c r="A36" s="486" t="s">
        <v>2664</v>
      </c>
      <c r="B36" s="487"/>
      <c r="C36" s="1413" t="e">
        <f>R37</f>
        <v>#DIV/0!</v>
      </c>
      <c r="D36" s="1414"/>
      <c r="E36" s="1415" t="e">
        <f>R36</f>
        <v>#DIV/0!</v>
      </c>
      <c r="F36" s="1415"/>
      <c r="G36" s="1413" t="e">
        <f>T36</f>
        <v>#DIV/0!</v>
      </c>
      <c r="H36" s="1414"/>
      <c r="I36" s="1415" t="e">
        <f>V36</f>
        <v>#DIV/0!</v>
      </c>
      <c r="J36" s="1414"/>
      <c r="K36" s="784"/>
      <c r="L36" s="1143"/>
      <c r="M36" s="1144"/>
      <c r="N36" s="1131"/>
      <c r="O36" s="1144"/>
      <c r="P36" s="3320" t="str">
        <f>A36</f>
        <v>比较价值（元/平方米）</v>
      </c>
      <c r="Q36" s="3320"/>
      <c r="R36" s="3387" t="e">
        <f>IF(F1="售价",ROUND(PRODUCT(R35,AA7:AA34),0),ROUND(PRODUCT(R35,AA7:AA34),1))</f>
        <v>#DIV/0!</v>
      </c>
      <c r="S36" s="3387"/>
      <c r="T36" s="3387" t="e">
        <f>IF(F1="售价",ROUND(PRODUCT(T35,AB7:AB34),0),ROUND(PRODUCT(T35,AB7:AB34),1))</f>
        <v>#DIV/0!</v>
      </c>
      <c r="U36" s="3387"/>
      <c r="V36" s="3387" t="e">
        <f>IF(F1="售价",ROUND(PRODUCT(V35,AC7:AC34),0),ROUND(PRODUCT(V35,AC7:AC34),1))</f>
        <v>#DIV/0!</v>
      </c>
      <c r="W36" s="3387"/>
      <c r="X36" s="759"/>
      <c r="Y36" s="759"/>
      <c r="Z36" s="759"/>
      <c r="AA36" s="759"/>
      <c r="AB36" s="759"/>
      <c r="AC36" s="759"/>
    </row>
    <row r="37" spans="1:29" ht="15.75" thickBot="1">
      <c r="A37" s="492" t="s">
        <v>2665</v>
      </c>
      <c r="B37" s="493"/>
      <c r="C37" s="1417" t="e">
        <f>R37</f>
        <v>#DIV/0!</v>
      </c>
      <c r="D37" s="1417"/>
      <c r="E37" s="1417"/>
      <c r="F37" s="1417"/>
      <c r="G37" s="1417"/>
      <c r="H37" s="1417"/>
      <c r="I37" s="1417"/>
      <c r="J37" s="1417"/>
      <c r="K37" s="785"/>
      <c r="L37" s="1143"/>
      <c r="M37" s="1144"/>
      <c r="N37" s="1144"/>
      <c r="O37" s="1144"/>
      <c r="P37" s="3314" t="str">
        <f>A37</f>
        <v>估价对象XX用房的比较价值（楼面单价，元/平方米）</v>
      </c>
      <c r="Q37" s="3315"/>
      <c r="R37" s="3386" t="e">
        <f>IF(F1="售价",ROUND(AVERAGE(R36:V36),0),ROUND(AVERAGE(R36:V36),1))</f>
        <v>#DIV/0!</v>
      </c>
      <c r="S37" s="3386"/>
      <c r="T37" s="3386"/>
      <c r="U37" s="3386"/>
      <c r="V37" s="3386"/>
      <c r="W37" s="3386"/>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2666</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2667</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2668</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2669</v>
      </c>
      <c r="B45" s="759"/>
      <c r="C45" s="764"/>
      <c r="D45" s="764"/>
      <c r="E45" s="764"/>
      <c r="F45" s="765"/>
      <c r="G45" s="765"/>
      <c r="H45" s="764"/>
      <c r="I45" s="764"/>
      <c r="J45" s="764"/>
      <c r="K45" s="766"/>
      <c r="L45" s="767"/>
      <c r="M45" s="764"/>
      <c r="N45" s="764"/>
      <c r="O45" s="764"/>
      <c r="P45" s="503"/>
      <c r="Q45" s="504"/>
    </row>
    <row r="46" spans="1:29" s="508" customFormat="1" ht="15">
      <c r="A46" s="505" t="s">
        <v>2543</v>
      </c>
      <c r="B46" s="506"/>
      <c r="C46" s="1574" t="str">
        <f>YEAR(C7)&amp;"-"&amp;MONTH(C7)</f>
        <v>2018-1</v>
      </c>
      <c r="D46" s="1575">
        <f>EDATE(C46,-1)</f>
        <v>43070</v>
      </c>
      <c r="E46" s="1575">
        <f t="shared" ref="E46:O46" si="16">EDATE(D46,-1)</f>
        <v>43040</v>
      </c>
      <c r="F46" s="1575">
        <f t="shared" si="16"/>
        <v>43009</v>
      </c>
      <c r="G46" s="1575">
        <f t="shared" si="16"/>
        <v>42979</v>
      </c>
      <c r="H46" s="1575">
        <f t="shared" si="16"/>
        <v>42948</v>
      </c>
      <c r="I46" s="1575">
        <f t="shared" si="16"/>
        <v>42917</v>
      </c>
      <c r="J46" s="1575">
        <f t="shared" si="16"/>
        <v>42887</v>
      </c>
      <c r="K46" s="1575">
        <f t="shared" si="16"/>
        <v>42856</v>
      </c>
      <c r="L46" s="1575">
        <f t="shared" si="16"/>
        <v>42826</v>
      </c>
      <c r="M46" s="1575">
        <f t="shared" si="16"/>
        <v>42795</v>
      </c>
      <c r="N46" s="1575">
        <f t="shared" si="16"/>
        <v>42767</v>
      </c>
      <c r="O46" s="1575">
        <f t="shared" si="16"/>
        <v>42736</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2580</v>
      </c>
      <c r="B48" s="516"/>
      <c r="C48" s="517"/>
      <c r="D48" s="518"/>
      <c r="E48" s="518"/>
      <c r="F48" s="518"/>
      <c r="G48" s="518"/>
      <c r="H48" s="518"/>
      <c r="I48" s="518"/>
      <c r="J48" s="518"/>
      <c r="K48" s="518"/>
      <c r="L48" s="518"/>
      <c r="M48" s="519"/>
      <c r="N48" s="518"/>
      <c r="O48" s="520"/>
      <c r="P48" s="504"/>
      <c r="Q48" s="504"/>
    </row>
    <row r="49" spans="1:17" s="117" customFormat="1" ht="15">
      <c r="A49" s="521" t="s">
        <v>2545</v>
      </c>
      <c r="B49" s="510"/>
      <c r="C49" s="522" t="s">
        <v>2647</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2583</v>
      </c>
      <c r="B51" s="528" t="s">
        <v>2549</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2552</v>
      </c>
      <c r="C53" s="539" t="s">
        <v>2584</v>
      </c>
      <c r="D53" s="539" t="s">
        <v>2585</v>
      </c>
      <c r="E53" s="539" t="s">
        <v>2586</v>
      </c>
      <c r="F53" s="539" t="s">
        <v>2587</v>
      </c>
      <c r="G53" s="539" t="s">
        <v>2588</v>
      </c>
      <c r="H53" s="539" t="s">
        <v>2589</v>
      </c>
      <c r="I53" s="539" t="s">
        <v>2590</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2554</v>
      </c>
      <c r="B61" s="528" t="s">
        <v>2597</v>
      </c>
      <c r="C61" s="573" t="s">
        <v>2592</v>
      </c>
      <c r="D61" s="573" t="s">
        <v>2593</v>
      </c>
      <c r="E61" s="573" t="s">
        <v>2594</v>
      </c>
      <c r="F61" s="573" t="s">
        <v>2595</v>
      </c>
      <c r="G61" s="573" t="s">
        <v>2596</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2735</v>
      </c>
      <c r="C63" s="578" t="s">
        <v>2592</v>
      </c>
      <c r="D63" s="578" t="s">
        <v>2593</v>
      </c>
      <c r="E63" s="578" t="s">
        <v>2594</v>
      </c>
      <c r="F63" s="578" t="s">
        <v>2595</v>
      </c>
      <c r="G63" s="578" t="s">
        <v>2596</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2684</v>
      </c>
      <c r="C65" s="660" t="s">
        <v>2670</v>
      </c>
      <c r="D65" s="660" t="s">
        <v>2671</v>
      </c>
      <c r="E65" s="660" t="s">
        <v>2672</v>
      </c>
      <c r="F65" s="660" t="s">
        <v>2673</v>
      </c>
      <c r="G65" s="660" t="s">
        <v>2674</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2604</v>
      </c>
      <c r="C67" s="578" t="s">
        <v>2592</v>
      </c>
      <c r="D67" s="578" t="s">
        <v>2593</v>
      </c>
      <c r="E67" s="578" t="s">
        <v>2594</v>
      </c>
      <c r="F67" s="578" t="s">
        <v>2595</v>
      </c>
      <c r="G67" s="578" t="s">
        <v>2596</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2724</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2558</v>
      </c>
      <c r="B77" s="528" t="s">
        <v>2611</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2727</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2728</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2736</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2737</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2738</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2" priority="14" stopIfTrue="1" operator="containsText" text="超过">
      <formula>NOT(ISERROR(SEARCH("超过",F40)))</formula>
    </cfRule>
  </conditionalFormatting>
  <conditionalFormatting sqref="J42">
    <cfRule type="containsText" dxfId="41" priority="13" stopIfTrue="1" operator="containsText" text="超过">
      <formula>NOT(ISERROR(SEARCH("超过",J42)))</formula>
    </cfRule>
  </conditionalFormatting>
  <conditionalFormatting sqref="H42">
    <cfRule type="containsText" dxfId="40" priority="12" stopIfTrue="1" operator="containsText" text="超过">
      <formula>NOT(ISERROR(SEARCH("超过",H42)))</formula>
    </cfRule>
  </conditionalFormatting>
  <conditionalFormatting sqref="F42">
    <cfRule type="containsText" dxfId="39" priority="11" stopIfTrue="1" operator="containsText" text="超过">
      <formula>NOT(ISERROR(SEARCH("超过",F42)))</formula>
    </cfRule>
  </conditionalFormatting>
  <conditionalFormatting sqref="F41 H41 J41">
    <cfRule type="containsText" dxfId="38" priority="10" stopIfTrue="1" operator="containsText" text="超过">
      <formula>NOT(ISERROR(SEARCH("超过",F41)))</formula>
    </cfRule>
  </conditionalFormatting>
  <conditionalFormatting sqref="E40">
    <cfRule type="expression" dxfId="37" priority="9" stopIfTrue="1">
      <formula>$F$40="超过30%"</formula>
    </cfRule>
  </conditionalFormatting>
  <conditionalFormatting sqref="G42">
    <cfRule type="expression" dxfId="36" priority="8" stopIfTrue="1">
      <formula>$H$54+$H$42="超过30%"</formula>
    </cfRule>
  </conditionalFormatting>
  <conditionalFormatting sqref="E41">
    <cfRule type="expression" dxfId="35" priority="7" stopIfTrue="1">
      <formula>$F$41="超过20%"</formula>
    </cfRule>
  </conditionalFormatting>
  <conditionalFormatting sqref="E42">
    <cfRule type="expression" dxfId="34" priority="6" stopIfTrue="1">
      <formula>$F$42="超过30%"</formula>
    </cfRule>
  </conditionalFormatting>
  <conditionalFormatting sqref="G40">
    <cfRule type="expression" dxfId="33" priority="5" stopIfTrue="1">
      <formula>$H$52+$H$40="超过30%"</formula>
    </cfRule>
  </conditionalFormatting>
  <conditionalFormatting sqref="G41">
    <cfRule type="expression" dxfId="32" priority="4" stopIfTrue="1">
      <formula>$H$53+$H$41="超过20%"</formula>
    </cfRule>
  </conditionalFormatting>
  <conditionalFormatting sqref="I40">
    <cfRule type="expression" dxfId="31" priority="3" stopIfTrue="1">
      <formula>$J$40="超过30%"</formula>
    </cfRule>
  </conditionalFormatting>
  <conditionalFormatting sqref="I41">
    <cfRule type="expression" dxfId="30" priority="2" stopIfTrue="1">
      <formula>$J$41="超过20%"</formula>
    </cfRule>
  </conditionalFormatting>
  <conditionalFormatting sqref="I42">
    <cfRule type="expression" dxfId="2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2739</v>
      </c>
      <c r="B1" s="395"/>
      <c r="C1" s="396" t="s">
        <v>2790</v>
      </c>
      <c r="D1" s="755"/>
      <c r="E1" s="755"/>
      <c r="F1" s="754" t="s">
        <v>2638</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2325</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2327</v>
      </c>
      <c r="B3" s="609" t="e">
        <f>ROUND(IF(D3="",B2*10000/'数据-汇总表'!E3,B2*10000/D3),0)</f>
        <v>#DIV/0!</v>
      </c>
      <c r="C3" s="247" t="s">
        <v>2741</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2640</v>
      </c>
      <c r="B4" s="402"/>
      <c r="C4" s="3317" t="s">
        <v>2641</v>
      </c>
      <c r="D4" s="3330"/>
      <c r="E4" s="3331" t="s">
        <v>2642</v>
      </c>
      <c r="F4" s="3332"/>
      <c r="G4" s="3317" t="s">
        <v>2643</v>
      </c>
      <c r="H4" s="3330"/>
      <c r="I4" s="3317" t="s">
        <v>2644</v>
      </c>
      <c r="J4" s="3330"/>
      <c r="K4" s="610" t="s">
        <v>2645</v>
      </c>
      <c r="L4" s="1130"/>
      <c r="M4" s="1131"/>
      <c r="N4" s="1131"/>
      <c r="O4" s="1131"/>
      <c r="P4" s="3333" t="s">
        <v>2646</v>
      </c>
      <c r="Q4" s="3334"/>
      <c r="R4" s="3339" t="s">
        <v>2642</v>
      </c>
      <c r="S4" s="3340"/>
      <c r="T4" s="3339" t="s">
        <v>2643</v>
      </c>
      <c r="U4" s="3340"/>
      <c r="V4" s="3326" t="s">
        <v>2644</v>
      </c>
      <c r="W4" s="3326"/>
      <c r="X4" s="1813"/>
      <c r="Y4" s="3339" t="s">
        <v>2646</v>
      </c>
      <c r="Z4" s="3340"/>
      <c r="AA4" s="3327" t="s">
        <v>2642</v>
      </c>
      <c r="AB4" s="3328" t="s">
        <v>2643</v>
      </c>
      <c r="AC4" s="3327" t="s">
        <v>2644</v>
      </c>
    </row>
    <row r="5" spans="1:29" ht="15">
      <c r="A5" s="404"/>
      <c r="B5" s="405"/>
      <c r="C5" s="3424" t="s">
        <v>2537</v>
      </c>
      <c r="D5" s="3348"/>
      <c r="E5" s="3426" t="s">
        <v>2538</v>
      </c>
      <c r="F5" s="3355"/>
      <c r="G5" s="3424" t="s">
        <v>2539</v>
      </c>
      <c r="H5" s="3348"/>
      <c r="I5" s="3424" t="s">
        <v>2540</v>
      </c>
      <c r="J5" s="3348"/>
      <c r="K5" s="610"/>
      <c r="L5" s="1130"/>
      <c r="M5" s="1131"/>
      <c r="N5" s="1131"/>
      <c r="O5" s="1131"/>
      <c r="P5" s="3335"/>
      <c r="Q5" s="3336"/>
      <c r="R5" s="3341"/>
      <c r="S5" s="3342"/>
      <c r="T5" s="3341"/>
      <c r="U5" s="3342"/>
      <c r="V5" s="3326"/>
      <c r="W5" s="3326"/>
      <c r="X5" s="1813"/>
      <c r="Y5" s="3341"/>
      <c r="Z5" s="3342"/>
      <c r="AA5" s="3328"/>
      <c r="AB5" s="3328"/>
      <c r="AC5" s="3328"/>
    </row>
    <row r="6" spans="1:29" ht="15.75" thickBot="1">
      <c r="A6" s="406"/>
      <c r="B6" s="407"/>
      <c r="C6" s="3442" t="s">
        <v>2791</v>
      </c>
      <c r="D6" s="3443"/>
      <c r="E6" s="3444" t="s">
        <v>2791</v>
      </c>
      <c r="F6" s="3445"/>
      <c r="G6" s="3442" t="s">
        <v>2791</v>
      </c>
      <c r="H6" s="3443"/>
      <c r="I6" s="3442" t="s">
        <v>2791</v>
      </c>
      <c r="J6" s="3443"/>
      <c r="K6" s="610" t="s">
        <v>2542</v>
      </c>
      <c r="L6" s="1130"/>
      <c r="M6" s="1131"/>
      <c r="N6" s="1131"/>
      <c r="O6" s="1131"/>
      <c r="P6" s="3337"/>
      <c r="Q6" s="3338"/>
      <c r="R6" s="3341"/>
      <c r="S6" s="3342"/>
      <c r="T6" s="3343"/>
      <c r="U6" s="3344"/>
      <c r="V6" s="3326"/>
      <c r="W6" s="3326"/>
      <c r="X6" s="1813"/>
      <c r="Y6" s="3343"/>
      <c r="Z6" s="3344"/>
      <c r="AA6" s="3329"/>
      <c r="AB6" s="3329"/>
      <c r="AC6" s="3329"/>
    </row>
    <row r="7" spans="1:29" s="117" customFormat="1" ht="15.75" thickBot="1">
      <c r="A7" s="408" t="s">
        <v>2543</v>
      </c>
      <c r="B7" s="409"/>
      <c r="C7" s="410">
        <f>'数据-取费表'!B2</f>
        <v>43111</v>
      </c>
      <c r="D7" s="411">
        <v>100</v>
      </c>
      <c r="E7" s="412"/>
      <c r="F7" s="413">
        <f>SUMIF(65:65,YEAR(E7)&amp;"-"&amp;INT((MONTH(E7)+2)/3),66:66)</f>
        <v>0</v>
      </c>
      <c r="G7" s="2692"/>
      <c r="H7" s="411">
        <f>SUMIF(65:65,YEAR(G7)&amp;"-"&amp;INT((MONTH(G7)+2)/3),66:66)</f>
        <v>0</v>
      </c>
      <c r="I7" s="2692"/>
      <c r="J7" s="411">
        <f>SUMIF(65:65,YEAR(I7)&amp;"-"&amp;INT((MONTH(I7)+2)/3),66:66)</f>
        <v>0</v>
      </c>
      <c r="K7" s="611"/>
      <c r="L7" s="1132"/>
      <c r="M7" s="1133"/>
      <c r="N7" s="1133"/>
      <c r="O7" s="1133"/>
      <c r="P7" s="3349" t="s">
        <v>2544</v>
      </c>
      <c r="Q7" s="3351"/>
      <c r="R7" s="770" t="s">
        <v>17</v>
      </c>
      <c r="S7" s="771">
        <f t="shared" ref="S7:S15" si="0">F7</f>
        <v>0</v>
      </c>
      <c r="T7" s="770" t="s">
        <v>17</v>
      </c>
      <c r="U7" s="771">
        <f t="shared" ref="U7:U15" si="1">H7</f>
        <v>0</v>
      </c>
      <c r="V7" s="770" t="s">
        <v>17</v>
      </c>
      <c r="W7" s="771">
        <f t="shared" ref="W7:W15" si="2">J7</f>
        <v>0</v>
      </c>
      <c r="X7" s="772"/>
      <c r="Y7" s="3349" t="s">
        <v>2544</v>
      </c>
      <c r="Z7" s="3350"/>
      <c r="AA7" s="773" t="e">
        <f>D7/F7</f>
        <v>#DIV/0!</v>
      </c>
      <c r="AB7" s="773" t="e">
        <f>D7/H7</f>
        <v>#DIV/0!</v>
      </c>
      <c r="AC7" s="773" t="e">
        <f>D7/J7</f>
        <v>#DIV/0!</v>
      </c>
    </row>
    <row r="8" spans="1:29" s="117" customFormat="1" ht="15.75" thickBot="1">
      <c r="A8" s="408" t="s">
        <v>2545</v>
      </c>
      <c r="B8" s="409"/>
      <c r="C8" s="414" t="s">
        <v>2546</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349" t="s">
        <v>2547</v>
      </c>
      <c r="Q8" s="3350"/>
      <c r="R8" s="770" t="s">
        <v>17</v>
      </c>
      <c r="S8" s="771">
        <f t="shared" si="0"/>
        <v>0</v>
      </c>
      <c r="T8" s="770" t="s">
        <v>17</v>
      </c>
      <c r="U8" s="771">
        <f t="shared" si="1"/>
        <v>0</v>
      </c>
      <c r="V8" s="770" t="s">
        <v>17</v>
      </c>
      <c r="W8" s="771">
        <f t="shared" si="2"/>
        <v>0</v>
      </c>
      <c r="X8" s="772"/>
      <c r="Y8" s="3349" t="s">
        <v>2547</v>
      </c>
      <c r="Z8" s="3350"/>
      <c r="AA8" s="773" t="e">
        <f t="shared" ref="AA8:AA40" si="3">D8/F8</f>
        <v>#DIV/0!</v>
      </c>
      <c r="AB8" s="773" t="e">
        <f t="shared" ref="AB8:AB40" si="4">D8/H8</f>
        <v>#DIV/0!</v>
      </c>
      <c r="AC8" s="773" t="e">
        <f t="shared" ref="AC8:AC40" si="5">D8/J8</f>
        <v>#DIV/0!</v>
      </c>
    </row>
    <row r="9" spans="1:29" s="117" customFormat="1">
      <c r="A9" s="415" t="s">
        <v>2548</v>
      </c>
      <c r="B9" s="71" t="s">
        <v>2549</v>
      </c>
      <c r="C9" s="2695"/>
      <c r="D9" s="135">
        <v>100</v>
      </c>
      <c r="E9" s="2695"/>
      <c r="F9" s="135">
        <f>SUMIF(70:70,E9,71:71)-SUMIF(70:70,C9,71:71)+100</f>
        <v>100</v>
      </c>
      <c r="G9" s="2695"/>
      <c r="H9" s="135">
        <f>SUMIF(70:70,G9,71:71)-SUMIF(70:70,C9,71:71)+100</f>
        <v>100</v>
      </c>
      <c r="I9" s="2695"/>
      <c r="J9" s="135">
        <f>SUMIF(70:70,I9,71:71)-SUMIF(70:70,C9,71:71)+100</f>
        <v>100</v>
      </c>
      <c r="K9" s="611"/>
      <c r="L9" s="1132"/>
      <c r="M9" s="1133"/>
      <c r="N9" s="1133"/>
      <c r="O9" s="1134"/>
      <c r="P9" s="3320" t="s">
        <v>2550</v>
      </c>
      <c r="Q9" s="1795" t="str">
        <f t="shared" ref="Q9:Q15" si="6">B9</f>
        <v>用途</v>
      </c>
      <c r="R9" s="770" t="s">
        <v>17</v>
      </c>
      <c r="S9" s="771">
        <f t="shared" si="0"/>
        <v>100</v>
      </c>
      <c r="T9" s="770" t="s">
        <v>17</v>
      </c>
      <c r="U9" s="771">
        <f t="shared" si="1"/>
        <v>100</v>
      </c>
      <c r="V9" s="770" t="s">
        <v>17</v>
      </c>
      <c r="W9" s="771">
        <f t="shared" si="2"/>
        <v>100</v>
      </c>
      <c r="X9" s="772"/>
      <c r="Y9" s="3151" t="s">
        <v>2551</v>
      </c>
      <c r="Z9" s="55" t="str">
        <f t="shared" ref="Z9:Z15" si="7">Q9</f>
        <v>用途</v>
      </c>
      <c r="AA9" s="773">
        <f t="shared" si="3"/>
        <v>1</v>
      </c>
      <c r="AB9" s="773">
        <f t="shared" si="4"/>
        <v>1</v>
      </c>
      <c r="AC9" s="773">
        <f t="shared" si="5"/>
        <v>1</v>
      </c>
    </row>
    <row r="10" spans="1:29" s="427" customFormat="1" ht="27">
      <c r="A10" s="421"/>
      <c r="B10" s="422" t="s">
        <v>2552</v>
      </c>
      <c r="C10" s="432"/>
      <c r="D10" s="136">
        <v>100</v>
      </c>
      <c r="E10" s="432"/>
      <c r="F10" s="136">
        <f>ROUND(100/'数据-取费表'!G16,0)</f>
        <v>101</v>
      </c>
      <c r="G10" s="432"/>
      <c r="H10" s="136">
        <f>ROUND(100/'数据-取费表'!G16,0)</f>
        <v>101</v>
      </c>
      <c r="I10" s="432"/>
      <c r="J10" s="136">
        <f>ROUND(100/'数据-取费表'!G16,0)</f>
        <v>101</v>
      </c>
      <c r="K10" s="672"/>
      <c r="L10" s="1135"/>
      <c r="M10" s="1136"/>
      <c r="N10" s="1136"/>
      <c r="O10" s="1137"/>
      <c r="P10" s="3320"/>
      <c r="Q10" s="1795" t="str">
        <f t="shared" si="6"/>
        <v>土地使用年限（年）</v>
      </c>
      <c r="R10" s="770" t="s">
        <v>17</v>
      </c>
      <c r="S10" s="771">
        <f t="shared" si="0"/>
        <v>101</v>
      </c>
      <c r="T10" s="770" t="s">
        <v>17</v>
      </c>
      <c r="U10" s="771">
        <f t="shared" si="1"/>
        <v>101</v>
      </c>
      <c r="V10" s="770" t="s">
        <v>17</v>
      </c>
      <c r="W10" s="771">
        <f t="shared" si="2"/>
        <v>101</v>
      </c>
      <c r="X10" s="772"/>
      <c r="Y10" s="3151"/>
      <c r="Z10" s="55" t="str">
        <f t="shared" si="7"/>
        <v>土地使用年限（年）</v>
      </c>
      <c r="AA10" s="773">
        <f t="shared" si="3"/>
        <v>0.99009900990099009</v>
      </c>
      <c r="AB10" s="773">
        <f t="shared" si="4"/>
        <v>0.99009900990099009</v>
      </c>
      <c r="AC10" s="773">
        <f t="shared" si="5"/>
        <v>0.99009900990099009</v>
      </c>
    </row>
    <row r="11" spans="1:29" ht="15">
      <c r="A11" s="428"/>
      <c r="B11" s="422" t="s">
        <v>2553</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320"/>
      <c r="Q11" s="1795" t="str">
        <f t="shared" si="6"/>
        <v>容积率</v>
      </c>
      <c r="R11" s="770" t="s">
        <v>17</v>
      </c>
      <c r="S11" s="771" t="e">
        <f t="shared" si="0"/>
        <v>#N/A</v>
      </c>
      <c r="T11" s="770" t="s">
        <v>17</v>
      </c>
      <c r="U11" s="771" t="e">
        <f t="shared" si="1"/>
        <v>#N/A</v>
      </c>
      <c r="V11" s="770" t="s">
        <v>17</v>
      </c>
      <c r="W11" s="771" t="e">
        <f t="shared" si="2"/>
        <v>#N/A</v>
      </c>
      <c r="X11" s="772"/>
      <c r="Y11" s="3151"/>
      <c r="Z11" s="55" t="str">
        <f t="shared" si="7"/>
        <v>容积率</v>
      </c>
      <c r="AA11" s="773" t="e">
        <f t="shared" si="3"/>
        <v>#N/A</v>
      </c>
      <c r="AB11" s="773" t="e">
        <f t="shared" si="4"/>
        <v>#N/A</v>
      </c>
      <c r="AC11" s="773" t="e">
        <f t="shared" si="5"/>
        <v>#N/A</v>
      </c>
    </row>
    <row r="12" spans="1:29" s="117" customFormat="1" ht="15">
      <c r="A12" s="431"/>
      <c r="B12" s="2597">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320"/>
      <c r="Q12" s="1795">
        <f t="shared" si="6"/>
        <v>111</v>
      </c>
      <c r="R12" s="770" t="s">
        <v>17</v>
      </c>
      <c r="S12" s="771">
        <f t="shared" si="0"/>
        <v>100</v>
      </c>
      <c r="T12" s="770" t="s">
        <v>17</v>
      </c>
      <c r="U12" s="771">
        <f t="shared" si="1"/>
        <v>100</v>
      </c>
      <c r="V12" s="770" t="s">
        <v>17</v>
      </c>
      <c r="W12" s="771">
        <f t="shared" si="2"/>
        <v>100</v>
      </c>
      <c r="X12" s="772"/>
      <c r="Y12" s="3151"/>
      <c r="Z12" s="55">
        <f t="shared" si="7"/>
        <v>111</v>
      </c>
      <c r="AA12" s="773">
        <f>D12/F12</f>
        <v>1</v>
      </c>
      <c r="AB12" s="773">
        <f>D12/H12</f>
        <v>1</v>
      </c>
      <c r="AC12" s="773">
        <f>D12/J12</f>
        <v>1</v>
      </c>
    </row>
    <row r="13" spans="1:29" ht="15">
      <c r="A13" s="428"/>
      <c r="B13" s="2597">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320"/>
      <c r="Q13" s="1795">
        <f t="shared" si="6"/>
        <v>111</v>
      </c>
      <c r="R13" s="770" t="s">
        <v>17</v>
      </c>
      <c r="S13" s="771">
        <f t="shared" si="0"/>
        <v>100</v>
      </c>
      <c r="T13" s="770" t="s">
        <v>17</v>
      </c>
      <c r="U13" s="771">
        <f t="shared" si="1"/>
        <v>100</v>
      </c>
      <c r="V13" s="770" t="s">
        <v>17</v>
      </c>
      <c r="W13" s="771">
        <f t="shared" si="2"/>
        <v>100</v>
      </c>
      <c r="X13" s="772"/>
      <c r="Y13" s="3151"/>
      <c r="Z13" s="55">
        <f t="shared" si="7"/>
        <v>111</v>
      </c>
      <c r="AA13" s="773">
        <f t="shared" si="3"/>
        <v>1</v>
      </c>
      <c r="AB13" s="773">
        <f t="shared" si="4"/>
        <v>1</v>
      </c>
      <c r="AC13" s="773">
        <f t="shared" si="5"/>
        <v>1</v>
      </c>
    </row>
    <row r="14" spans="1:29" ht="15.75" thickBot="1">
      <c r="A14" s="436"/>
      <c r="B14" s="2599">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320"/>
      <c r="Q14" s="1795">
        <f t="shared" si="6"/>
        <v>111</v>
      </c>
      <c r="R14" s="770" t="s">
        <v>17</v>
      </c>
      <c r="S14" s="771">
        <f t="shared" si="0"/>
        <v>100</v>
      </c>
      <c r="T14" s="770" t="s">
        <v>17</v>
      </c>
      <c r="U14" s="771">
        <f t="shared" si="1"/>
        <v>100</v>
      </c>
      <c r="V14" s="770" t="s">
        <v>17</v>
      </c>
      <c r="W14" s="771">
        <f t="shared" si="2"/>
        <v>100</v>
      </c>
      <c r="X14" s="772"/>
      <c r="Y14" s="3151"/>
      <c r="Z14" s="55">
        <f t="shared" si="7"/>
        <v>111</v>
      </c>
      <c r="AA14" s="773">
        <f t="shared" si="3"/>
        <v>1</v>
      </c>
      <c r="AB14" s="773">
        <f t="shared" si="4"/>
        <v>1</v>
      </c>
      <c r="AC14" s="773">
        <f t="shared" si="5"/>
        <v>1</v>
      </c>
    </row>
    <row r="15" spans="1:29" ht="57">
      <c r="A15" s="440" t="s">
        <v>2554</v>
      </c>
      <c r="B15" s="629" t="s">
        <v>2792</v>
      </c>
      <c r="C15" s="2689"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322" t="s">
        <v>2555</v>
      </c>
      <c r="Q15" s="1810" t="str">
        <f t="shared" si="6"/>
        <v>产业集聚程度</v>
      </c>
      <c r="R15" s="774" t="s">
        <v>17</v>
      </c>
      <c r="S15" s="775">
        <f t="shared" si="0"/>
        <v>100</v>
      </c>
      <c r="T15" s="774" t="s">
        <v>17</v>
      </c>
      <c r="U15" s="775">
        <f t="shared" si="1"/>
        <v>100</v>
      </c>
      <c r="V15" s="774" t="s">
        <v>17</v>
      </c>
      <c r="W15" s="775">
        <f t="shared" si="2"/>
        <v>100</v>
      </c>
      <c r="X15" s="1813"/>
      <c r="Y15" s="3322" t="s">
        <v>2555</v>
      </c>
      <c r="Z15" s="1814" t="str">
        <f t="shared" si="7"/>
        <v>产业集聚程度</v>
      </c>
      <c r="AA15" s="1811">
        <f t="shared" si="3"/>
        <v>1</v>
      </c>
      <c r="AB15" s="1811">
        <f t="shared" si="4"/>
        <v>1</v>
      </c>
      <c r="AC15" s="1811">
        <f t="shared" si="5"/>
        <v>1</v>
      </c>
    </row>
    <row r="16" spans="1:29" ht="15">
      <c r="A16" s="428"/>
      <c r="B16" s="630"/>
      <c r="C16" s="447"/>
      <c r="D16" s="448"/>
      <c r="E16" s="2608"/>
      <c r="F16" s="448"/>
      <c r="G16" s="2608"/>
      <c r="H16" s="450"/>
      <c r="I16" s="2608"/>
      <c r="J16" s="448"/>
      <c r="K16" s="672"/>
      <c r="L16" s="1140"/>
      <c r="M16" s="1131"/>
      <c r="N16" s="1131"/>
      <c r="O16" s="1139"/>
      <c r="P16" s="3323"/>
      <c r="Q16" s="1810"/>
      <c r="R16" s="774"/>
      <c r="S16" s="775"/>
      <c r="T16" s="774"/>
      <c r="U16" s="775"/>
      <c r="V16" s="774"/>
      <c r="W16" s="775"/>
      <c r="X16" s="1813"/>
      <c r="Y16" s="3323"/>
      <c r="Z16" s="1814"/>
      <c r="AA16" s="1811">
        <v>1</v>
      </c>
      <c r="AB16" s="1811">
        <v>1</v>
      </c>
      <c r="AC16" s="1811">
        <v>1</v>
      </c>
    </row>
    <row r="17" spans="1:29" ht="85.5">
      <c r="A17" s="428"/>
      <c r="B17" s="631" t="s">
        <v>2704</v>
      </c>
      <c r="C17" s="2604"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323"/>
      <c r="Q17" s="1810" t="str">
        <f>B17</f>
        <v>交通便捷度</v>
      </c>
      <c r="R17" s="774" t="s">
        <v>17</v>
      </c>
      <c r="S17" s="775">
        <f>F17</f>
        <v>100</v>
      </c>
      <c r="T17" s="774" t="s">
        <v>17</v>
      </c>
      <c r="U17" s="775">
        <f>H17</f>
        <v>100</v>
      </c>
      <c r="V17" s="774" t="s">
        <v>17</v>
      </c>
      <c r="W17" s="775">
        <f>J17</f>
        <v>100</v>
      </c>
      <c r="X17" s="1813"/>
      <c r="Y17" s="3323"/>
      <c r="Z17" s="1814" t="str">
        <f>Q17</f>
        <v>交通便捷度</v>
      </c>
      <c r="AA17" s="1811">
        <f t="shared" si="3"/>
        <v>1</v>
      </c>
      <c r="AB17" s="1811">
        <f t="shared" si="4"/>
        <v>1</v>
      </c>
      <c r="AC17" s="1811">
        <f t="shared" si="5"/>
        <v>1</v>
      </c>
    </row>
    <row r="18" spans="1:29" ht="15">
      <c r="A18" s="428"/>
      <c r="B18" s="632"/>
      <c r="C18" s="447"/>
      <c r="D18" s="448"/>
      <c r="E18" s="2602"/>
      <c r="F18" s="448"/>
      <c r="G18" s="2602"/>
      <c r="H18" s="448"/>
      <c r="I18" s="2601"/>
      <c r="J18" s="448"/>
      <c r="K18" s="672"/>
      <c r="L18" s="1140"/>
      <c r="M18" s="1131"/>
      <c r="N18" s="1131"/>
      <c r="O18" s="1139"/>
      <c r="P18" s="3323"/>
      <c r="Q18" s="1810"/>
      <c r="R18" s="774"/>
      <c r="S18" s="775"/>
      <c r="T18" s="774"/>
      <c r="U18" s="775"/>
      <c r="V18" s="774"/>
      <c r="W18" s="775"/>
      <c r="X18" s="1813"/>
      <c r="Y18" s="3323"/>
      <c r="Z18" s="1814"/>
      <c r="AA18" s="1811">
        <v>1</v>
      </c>
      <c r="AB18" s="1811">
        <v>1</v>
      </c>
      <c r="AC18" s="1811">
        <v>1</v>
      </c>
    </row>
    <row r="19" spans="1:29" ht="15">
      <c r="A19" s="428"/>
      <c r="B19" s="631" t="s">
        <v>2742</v>
      </c>
      <c r="C19" s="2604">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323"/>
      <c r="Q19" s="1810" t="str">
        <f t="shared" ref="Q19:Q33" si="8">B19</f>
        <v>区域土地利用方向</v>
      </c>
      <c r="R19" s="774" t="s">
        <v>17</v>
      </c>
      <c r="S19" s="775">
        <f>F19</f>
        <v>100</v>
      </c>
      <c r="T19" s="774" t="s">
        <v>17</v>
      </c>
      <c r="U19" s="775">
        <f>H19</f>
        <v>100</v>
      </c>
      <c r="V19" s="774" t="s">
        <v>17</v>
      </c>
      <c r="W19" s="775">
        <f>J19</f>
        <v>100</v>
      </c>
      <c r="X19" s="1813"/>
      <c r="Y19" s="3323"/>
      <c r="Z19" s="1814" t="str">
        <f>Q19</f>
        <v>区域土地利用方向</v>
      </c>
      <c r="AA19" s="1811">
        <f t="shared" si="3"/>
        <v>1</v>
      </c>
      <c r="AB19" s="1811">
        <f t="shared" si="4"/>
        <v>1</v>
      </c>
      <c r="AC19" s="1811">
        <f t="shared" si="5"/>
        <v>1</v>
      </c>
    </row>
    <row r="20" spans="1:29" ht="15">
      <c r="A20" s="404"/>
      <c r="B20" s="632"/>
      <c r="C20" s="447"/>
      <c r="D20" s="448"/>
      <c r="E20" s="2602"/>
      <c r="F20" s="448"/>
      <c r="G20" s="2602"/>
      <c r="H20" s="448"/>
      <c r="I20" s="2602"/>
      <c r="J20" s="448"/>
      <c r="K20" s="809"/>
      <c r="L20" s="1140"/>
      <c r="M20" s="1131"/>
      <c r="N20" s="1131"/>
      <c r="O20" s="1139"/>
      <c r="P20" s="3323"/>
      <c r="Q20" s="1810"/>
      <c r="R20" s="774"/>
      <c r="S20" s="775"/>
      <c r="T20" s="774"/>
      <c r="U20" s="775"/>
      <c r="V20" s="774"/>
      <c r="W20" s="775"/>
      <c r="X20" s="1813"/>
      <c r="Y20" s="3323"/>
      <c r="Z20" s="1814"/>
      <c r="AA20" s="1811"/>
      <c r="AB20" s="1811"/>
      <c r="AC20" s="1811"/>
    </row>
    <row r="21" spans="1:29" ht="71.25">
      <c r="A21" s="404"/>
      <c r="B21" s="631" t="s">
        <v>2793</v>
      </c>
      <c r="C21" s="2604"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323"/>
      <c r="Q21" s="1810" t="str">
        <f t="shared" si="8"/>
        <v>环境状况</v>
      </c>
      <c r="R21" s="774" t="s">
        <v>17</v>
      </c>
      <c r="S21" s="775">
        <f>F21</f>
        <v>100</v>
      </c>
      <c r="T21" s="774" t="s">
        <v>17</v>
      </c>
      <c r="U21" s="775">
        <f>H21</f>
        <v>100</v>
      </c>
      <c r="V21" s="774" t="s">
        <v>17</v>
      </c>
      <c r="W21" s="775">
        <f>J21</f>
        <v>100</v>
      </c>
      <c r="X21" s="1813"/>
      <c r="Y21" s="3323"/>
      <c r="Z21" s="1814" t="str">
        <f>Q21</f>
        <v>环境状况</v>
      </c>
      <c r="AA21" s="1811">
        <f t="shared" si="3"/>
        <v>1</v>
      </c>
      <c r="AB21" s="1811">
        <f t="shared" si="4"/>
        <v>1</v>
      </c>
      <c r="AC21" s="1811">
        <f t="shared" si="5"/>
        <v>1</v>
      </c>
    </row>
    <row r="22" spans="1:29" ht="15">
      <c r="A22" s="404"/>
      <c r="B22" s="632"/>
      <c r="C22" s="447"/>
      <c r="D22" s="448"/>
      <c r="E22" s="2608"/>
      <c r="F22" s="448"/>
      <c r="G22" s="2608"/>
      <c r="H22" s="448"/>
      <c r="I22" s="447"/>
      <c r="J22" s="448"/>
      <c r="K22" s="672"/>
      <c r="L22" s="1140"/>
      <c r="M22" s="1131"/>
      <c r="N22" s="1131"/>
      <c r="O22" s="1139"/>
      <c r="P22" s="3323"/>
      <c r="Q22" s="1810"/>
      <c r="R22" s="774"/>
      <c r="S22" s="775"/>
      <c r="T22" s="774"/>
      <c r="U22" s="775"/>
      <c r="V22" s="774"/>
      <c r="W22" s="775"/>
      <c r="X22" s="1813"/>
      <c r="Y22" s="3323"/>
      <c r="Z22" s="1814"/>
      <c r="AA22" s="1811">
        <v>1</v>
      </c>
      <c r="AB22" s="1811">
        <v>1</v>
      </c>
      <c r="AC22" s="1811">
        <v>1</v>
      </c>
    </row>
    <row r="23" spans="1:29" s="117" customFormat="1" ht="42.75">
      <c r="A23" s="649"/>
      <c r="B23" s="633" t="s">
        <v>2649</v>
      </c>
      <c r="C23" s="2604"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323"/>
      <c r="Q23" s="1795" t="str">
        <f t="shared" si="8"/>
        <v>公共配套设施</v>
      </c>
      <c r="R23" s="770" t="s">
        <v>17</v>
      </c>
      <c r="S23" s="771">
        <f>F23</f>
        <v>100</v>
      </c>
      <c r="T23" s="770" t="s">
        <v>17</v>
      </c>
      <c r="U23" s="771">
        <f>H23</f>
        <v>100</v>
      </c>
      <c r="V23" s="770" t="s">
        <v>17</v>
      </c>
      <c r="W23" s="771">
        <f>J23</f>
        <v>100</v>
      </c>
      <c r="X23" s="772"/>
      <c r="Y23" s="3323"/>
      <c r="Z23" s="55" t="str">
        <f>Q23</f>
        <v>公共配套设施</v>
      </c>
      <c r="AA23" s="1811">
        <f>D23/F23</f>
        <v>1</v>
      </c>
      <c r="AB23" s="1811">
        <f>D23/H23</f>
        <v>1</v>
      </c>
      <c r="AC23" s="1811">
        <f>D23/J23</f>
        <v>1</v>
      </c>
    </row>
    <row r="24" spans="1:29" s="117" customFormat="1" ht="15">
      <c r="A24" s="649"/>
      <c r="B24" s="632"/>
      <c r="C24" s="2696"/>
      <c r="D24" s="448"/>
      <c r="E24" s="2608"/>
      <c r="F24" s="448"/>
      <c r="G24" s="2608"/>
      <c r="H24" s="448"/>
      <c r="I24" s="447"/>
      <c r="J24" s="448"/>
      <c r="K24" s="672"/>
      <c r="L24" s="1132"/>
      <c r="M24" s="1133"/>
      <c r="N24" s="1133"/>
      <c r="O24" s="1134"/>
      <c r="P24" s="3323"/>
      <c r="Q24" s="1795"/>
      <c r="R24" s="770"/>
      <c r="S24" s="771"/>
      <c r="T24" s="770"/>
      <c r="U24" s="771"/>
      <c r="V24" s="770"/>
      <c r="W24" s="771"/>
      <c r="X24" s="772"/>
      <c r="Y24" s="3323"/>
      <c r="Z24" s="55"/>
      <c r="AA24" s="773">
        <v>1</v>
      </c>
      <c r="AB24" s="773">
        <v>1</v>
      </c>
      <c r="AC24" s="773">
        <v>1</v>
      </c>
    </row>
    <row r="25" spans="1:29" s="117" customFormat="1" ht="28.5">
      <c r="A25" s="649"/>
      <c r="B25" s="633" t="s">
        <v>2650</v>
      </c>
      <c r="C25" s="2604"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323"/>
      <c r="Q25" s="1795" t="str">
        <f t="shared" ref="Q25" si="9">B25</f>
        <v>基础设施水平</v>
      </c>
      <c r="R25" s="770" t="s">
        <v>17</v>
      </c>
      <c r="S25" s="771">
        <f>F25</f>
        <v>100</v>
      </c>
      <c r="T25" s="770" t="s">
        <v>17</v>
      </c>
      <c r="U25" s="771">
        <f>H25</f>
        <v>100</v>
      </c>
      <c r="V25" s="770" t="s">
        <v>17</v>
      </c>
      <c r="W25" s="771">
        <f>J25</f>
        <v>100</v>
      </c>
      <c r="X25" s="772"/>
      <c r="Y25" s="3323"/>
      <c r="Z25" s="55" t="str">
        <f>Q25</f>
        <v>基础设施水平</v>
      </c>
      <c r="AA25" s="1811">
        <f>D25/F25</f>
        <v>1</v>
      </c>
      <c r="AB25" s="1811">
        <f>D25/H25</f>
        <v>1</v>
      </c>
      <c r="AC25" s="1811">
        <f>D25/J25</f>
        <v>1</v>
      </c>
    </row>
    <row r="26" spans="1:29" s="117" customFormat="1" ht="15">
      <c r="A26" s="649"/>
      <c r="B26" s="632"/>
      <c r="C26" s="2696"/>
      <c r="D26" s="448"/>
      <c r="E26" s="2697"/>
      <c r="F26" s="448"/>
      <c r="G26" s="2697"/>
      <c r="H26" s="448"/>
      <c r="I26" s="2697"/>
      <c r="J26" s="448"/>
      <c r="K26" s="672"/>
      <c r="L26" s="1132"/>
      <c r="M26" s="1133"/>
      <c r="N26" s="1133"/>
      <c r="O26" s="1134"/>
      <c r="P26" s="3323"/>
      <c r="Q26" s="1795"/>
      <c r="R26" s="770"/>
      <c r="S26" s="771"/>
      <c r="T26" s="770"/>
      <c r="U26" s="771"/>
      <c r="V26" s="770"/>
      <c r="W26" s="771"/>
      <c r="X26" s="772"/>
      <c r="Y26" s="3323"/>
      <c r="Z26" s="55"/>
      <c r="AA26" s="773">
        <v>1</v>
      </c>
      <c r="AB26" s="773">
        <v>1</v>
      </c>
      <c r="AC26" s="773">
        <v>1</v>
      </c>
    </row>
    <row r="27" spans="1:29" ht="15">
      <c r="A27" s="428"/>
      <c r="B27" s="632" t="s">
        <v>2651</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323"/>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323"/>
      <c r="Z27" s="1814" t="str">
        <f t="shared" ref="Z27:Z40" si="13">Q27</f>
        <v>临街状况</v>
      </c>
      <c r="AA27" s="1811">
        <f t="shared" si="3"/>
        <v>1</v>
      </c>
      <c r="AB27" s="1811">
        <f t="shared" si="4"/>
        <v>1</v>
      </c>
      <c r="AC27" s="1811">
        <f t="shared" si="5"/>
        <v>1</v>
      </c>
    </row>
    <row r="28" spans="1:29" ht="27">
      <c r="A28" s="428"/>
      <c r="B28" s="633" t="s">
        <v>2686</v>
      </c>
      <c r="C28" s="2709">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323"/>
      <c r="Q28" s="1810" t="str">
        <f t="shared" si="8"/>
        <v>毗邻道路的类型与等级</v>
      </c>
      <c r="R28" s="774" t="s">
        <v>17</v>
      </c>
      <c r="S28" s="775">
        <f t="shared" si="10"/>
        <v>100</v>
      </c>
      <c r="T28" s="774" t="s">
        <v>17</v>
      </c>
      <c r="U28" s="775">
        <f t="shared" si="11"/>
        <v>100</v>
      </c>
      <c r="V28" s="774" t="s">
        <v>17</v>
      </c>
      <c r="W28" s="775">
        <f t="shared" si="12"/>
        <v>100</v>
      </c>
      <c r="X28" s="1813"/>
      <c r="Y28" s="3323"/>
      <c r="Z28" s="1814" t="str">
        <f t="shared" si="13"/>
        <v>毗邻道路的类型与等级</v>
      </c>
      <c r="AA28" s="1811">
        <f t="shared" si="3"/>
        <v>1</v>
      </c>
      <c r="AB28" s="1811">
        <f t="shared" si="4"/>
        <v>1</v>
      </c>
      <c r="AC28" s="1811">
        <f t="shared" si="5"/>
        <v>1</v>
      </c>
    </row>
    <row r="29" spans="1:29" ht="15">
      <c r="A29" s="428"/>
      <c r="B29" s="632"/>
      <c r="C29" s="447"/>
      <c r="D29" s="448"/>
      <c r="E29" s="2608"/>
      <c r="F29" s="448"/>
      <c r="G29" s="2608"/>
      <c r="H29" s="448"/>
      <c r="I29" s="2608"/>
      <c r="J29" s="448"/>
      <c r="K29" s="613"/>
      <c r="L29" s="1140"/>
      <c r="M29" s="1131"/>
      <c r="N29" s="1131"/>
      <c r="O29" s="1139"/>
      <c r="P29" s="3323"/>
      <c r="Q29" s="1810"/>
      <c r="R29" s="774"/>
      <c r="S29" s="775"/>
      <c r="T29" s="774"/>
      <c r="U29" s="775"/>
      <c r="V29" s="774"/>
      <c r="W29" s="775"/>
      <c r="X29" s="1813"/>
      <c r="Y29" s="3323"/>
      <c r="Z29" s="1814"/>
      <c r="AA29" s="1811">
        <v>1</v>
      </c>
      <c r="AB29" s="1811">
        <v>1</v>
      </c>
      <c r="AC29" s="1811">
        <v>1</v>
      </c>
    </row>
    <row r="30" spans="1:29" ht="15">
      <c r="A30" s="428"/>
      <c r="B30" s="654" t="s">
        <v>2744</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323"/>
      <c r="Q30" s="1810" t="str">
        <f t="shared" si="8"/>
        <v>土地级别</v>
      </c>
      <c r="R30" s="774" t="s">
        <v>17</v>
      </c>
      <c r="S30" s="775">
        <f t="shared" si="10"/>
        <v>100</v>
      </c>
      <c r="T30" s="774" t="s">
        <v>17</v>
      </c>
      <c r="U30" s="775">
        <f t="shared" si="11"/>
        <v>100</v>
      </c>
      <c r="V30" s="774" t="s">
        <v>17</v>
      </c>
      <c r="W30" s="775">
        <f t="shared" si="12"/>
        <v>100</v>
      </c>
      <c r="X30" s="1813"/>
      <c r="Y30" s="3323"/>
      <c r="Z30" s="1814" t="str">
        <f t="shared" si="13"/>
        <v>土地级别</v>
      </c>
      <c r="AA30" s="1811">
        <f t="shared" si="3"/>
        <v>1</v>
      </c>
      <c r="AB30" s="1811">
        <f t="shared" si="4"/>
        <v>1</v>
      </c>
      <c r="AC30" s="1811">
        <f t="shared" si="5"/>
        <v>1</v>
      </c>
    </row>
    <row r="31" spans="1:29" ht="15">
      <c r="A31" s="404"/>
      <c r="B31" s="2674">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323"/>
      <c r="Q31" s="1810">
        <f t="shared" si="8"/>
        <v>111</v>
      </c>
      <c r="R31" s="774" t="s">
        <v>17</v>
      </c>
      <c r="S31" s="775">
        <f t="shared" si="10"/>
        <v>100</v>
      </c>
      <c r="T31" s="774" t="s">
        <v>17</v>
      </c>
      <c r="U31" s="775">
        <f t="shared" si="11"/>
        <v>100</v>
      </c>
      <c r="V31" s="774" t="s">
        <v>17</v>
      </c>
      <c r="W31" s="775">
        <f t="shared" si="12"/>
        <v>100</v>
      </c>
      <c r="X31" s="1813"/>
      <c r="Y31" s="3323"/>
      <c r="Z31" s="1814">
        <f t="shared" si="13"/>
        <v>111</v>
      </c>
      <c r="AA31" s="1811">
        <f t="shared" si="3"/>
        <v>1</v>
      </c>
      <c r="AB31" s="1811">
        <f t="shared" si="4"/>
        <v>1</v>
      </c>
      <c r="AC31" s="1811">
        <f t="shared" si="5"/>
        <v>1</v>
      </c>
    </row>
    <row r="32" spans="1:29" ht="15">
      <c r="A32" s="675"/>
      <c r="B32" s="2710">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324" t="s">
        <v>2560</v>
      </c>
      <c r="Q32" s="1810">
        <f t="shared" si="8"/>
        <v>111</v>
      </c>
      <c r="R32" s="774" t="s">
        <v>17</v>
      </c>
      <c r="S32" s="775">
        <f t="shared" si="10"/>
        <v>100</v>
      </c>
      <c r="T32" s="774" t="s">
        <v>17</v>
      </c>
      <c r="U32" s="775">
        <f t="shared" si="11"/>
        <v>100</v>
      </c>
      <c r="V32" s="774" t="s">
        <v>17</v>
      </c>
      <c r="W32" s="775">
        <f t="shared" si="12"/>
        <v>100</v>
      </c>
      <c r="X32" s="1813"/>
      <c r="Y32" s="3325" t="s">
        <v>2560</v>
      </c>
      <c r="Z32" s="1814">
        <f t="shared" si="13"/>
        <v>111</v>
      </c>
      <c r="AA32" s="1811">
        <f t="shared" si="3"/>
        <v>1</v>
      </c>
      <c r="AB32" s="1811">
        <f t="shared" si="4"/>
        <v>1</v>
      </c>
      <c r="AC32" s="1811">
        <f t="shared" si="5"/>
        <v>1</v>
      </c>
    </row>
    <row r="33" spans="1:29" s="471" customFormat="1" ht="15.75" thickBot="1">
      <c r="A33" s="676"/>
      <c r="B33" s="2711">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325"/>
      <c r="Q33" s="1810">
        <f t="shared" si="8"/>
        <v>111</v>
      </c>
      <c r="R33" s="777" t="s">
        <v>17</v>
      </c>
      <c r="S33" s="778">
        <f t="shared" si="10"/>
        <v>100</v>
      </c>
      <c r="T33" s="777" t="s">
        <v>17</v>
      </c>
      <c r="U33" s="778">
        <f t="shared" si="11"/>
        <v>100</v>
      </c>
      <c r="V33" s="777" t="s">
        <v>17</v>
      </c>
      <c r="W33" s="778">
        <f t="shared" si="12"/>
        <v>100</v>
      </c>
      <c r="X33" s="779"/>
      <c r="Y33" s="3325"/>
      <c r="Z33" s="780">
        <f t="shared" si="13"/>
        <v>111</v>
      </c>
      <c r="AA33" s="1811">
        <f t="shared" si="3"/>
        <v>1</v>
      </c>
      <c r="AB33" s="1811">
        <f t="shared" si="4"/>
        <v>1</v>
      </c>
      <c r="AC33" s="1811">
        <f t="shared" si="5"/>
        <v>1</v>
      </c>
    </row>
    <row r="34" spans="1:29" ht="15">
      <c r="A34" s="440" t="s">
        <v>2558</v>
      </c>
      <c r="B34" s="456" t="s">
        <v>2745</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325"/>
      <c r="Q34" s="1810" t="str">
        <f>B34</f>
        <v>宗地面积</v>
      </c>
      <c r="R34" s="774" t="s">
        <v>17</v>
      </c>
      <c r="S34" s="775" t="e">
        <f t="shared" si="10"/>
        <v>#N/A</v>
      </c>
      <c r="T34" s="774" t="s">
        <v>17</v>
      </c>
      <c r="U34" s="775" t="e">
        <f t="shared" si="11"/>
        <v>#N/A</v>
      </c>
      <c r="V34" s="774" t="s">
        <v>17</v>
      </c>
      <c r="W34" s="775" t="e">
        <f t="shared" si="12"/>
        <v>#N/A</v>
      </c>
      <c r="X34" s="1813"/>
      <c r="Y34" s="3325"/>
      <c r="Z34" s="1814" t="str">
        <f t="shared" si="13"/>
        <v>宗地面积</v>
      </c>
      <c r="AA34" s="1811" t="e">
        <f t="shared" si="3"/>
        <v>#N/A</v>
      </c>
      <c r="AB34" s="1811" t="e">
        <f t="shared" si="4"/>
        <v>#N/A</v>
      </c>
      <c r="AC34" s="1811" t="e">
        <f t="shared" si="5"/>
        <v>#N/A</v>
      </c>
    </row>
    <row r="35" spans="1:29" ht="15">
      <c r="A35" s="472"/>
      <c r="B35" s="422" t="s">
        <v>2746</v>
      </c>
      <c r="C35" s="2610"/>
      <c r="D35" s="435">
        <v>100</v>
      </c>
      <c r="E35" s="2610"/>
      <c r="F35" s="435">
        <f>SUMIF(110:110,E35,111:111)-SUMIF(110:110,C35,111:111)+100</f>
        <v>100</v>
      </c>
      <c r="G35" s="2610"/>
      <c r="H35" s="435">
        <f>SUMIF(110:110,G35,111:111)-SUMIF(110:110,C35,111:111)+100</f>
        <v>100</v>
      </c>
      <c r="I35" s="2610"/>
      <c r="J35" s="435">
        <f>SUMIF(110:110,I35,111:111)-SUMIF(110:110,C35,111:111)+100</f>
        <v>100</v>
      </c>
      <c r="K35" s="612"/>
      <c r="L35" s="1140"/>
      <c r="M35" s="1131"/>
      <c r="N35" s="1131"/>
      <c r="O35" s="1139"/>
      <c r="P35" s="3325"/>
      <c r="Q35" s="1810" t="str">
        <f t="shared" ref="Q35:Q40" si="14">B35</f>
        <v>宗地形状</v>
      </c>
      <c r="R35" s="774" t="s">
        <v>17</v>
      </c>
      <c r="S35" s="775">
        <f t="shared" si="10"/>
        <v>100</v>
      </c>
      <c r="T35" s="774" t="s">
        <v>17</v>
      </c>
      <c r="U35" s="775">
        <f t="shared" si="11"/>
        <v>100</v>
      </c>
      <c r="V35" s="774" t="s">
        <v>17</v>
      </c>
      <c r="W35" s="775">
        <f t="shared" si="12"/>
        <v>100</v>
      </c>
      <c r="X35" s="1813"/>
      <c r="Y35" s="3325"/>
      <c r="Z35" s="1814" t="str">
        <f t="shared" si="13"/>
        <v>宗地形状</v>
      </c>
      <c r="AA35" s="1811">
        <f t="shared" si="3"/>
        <v>1</v>
      </c>
      <c r="AB35" s="1811">
        <f t="shared" si="4"/>
        <v>1</v>
      </c>
      <c r="AC35" s="1811">
        <f t="shared" si="5"/>
        <v>1</v>
      </c>
    </row>
    <row r="36" spans="1:29" s="117" customFormat="1" ht="15">
      <c r="A36" s="473"/>
      <c r="B36" s="422" t="s">
        <v>2748</v>
      </c>
      <c r="C36" s="2698"/>
      <c r="D36" s="136">
        <v>100</v>
      </c>
      <c r="E36" s="2698"/>
      <c r="F36" s="435">
        <f>SUMIF(112:112,E36,113:113)-SUMIF(112:112,C36,113:113)+100</f>
        <v>100</v>
      </c>
      <c r="G36" s="2698"/>
      <c r="H36" s="435">
        <f>SUMIF(112:112,G36,113:113)-SUMIF(112:112,C36,113:113)+100</f>
        <v>100</v>
      </c>
      <c r="I36" s="2698"/>
      <c r="J36" s="435">
        <f>SUMIF(112:112,I36,113:113)-SUMIF(112:112,C36,113:113)+100</f>
        <v>100</v>
      </c>
      <c r="K36" s="612"/>
      <c r="L36" s="1132"/>
      <c r="M36" s="1133"/>
      <c r="N36" s="1133"/>
      <c r="O36" s="1134"/>
      <c r="P36" s="3325"/>
      <c r="Q36" s="1810" t="str">
        <f t="shared" si="14"/>
        <v>宗地开发程度</v>
      </c>
      <c r="R36" s="770" t="s">
        <v>17</v>
      </c>
      <c r="S36" s="771">
        <f t="shared" si="10"/>
        <v>100</v>
      </c>
      <c r="T36" s="770" t="s">
        <v>17</v>
      </c>
      <c r="U36" s="771">
        <f t="shared" si="11"/>
        <v>100</v>
      </c>
      <c r="V36" s="770" t="s">
        <v>17</v>
      </c>
      <c r="W36" s="771">
        <f t="shared" si="12"/>
        <v>100</v>
      </c>
      <c r="X36" s="772"/>
      <c r="Y36" s="3325"/>
      <c r="Z36" s="55" t="str">
        <f t="shared" si="13"/>
        <v>宗地开发程度</v>
      </c>
      <c r="AA36" s="773">
        <f t="shared" si="3"/>
        <v>1</v>
      </c>
      <c r="AB36" s="773">
        <f t="shared" si="4"/>
        <v>1</v>
      </c>
      <c r="AC36" s="773">
        <f t="shared" si="5"/>
        <v>1</v>
      </c>
    </row>
    <row r="37" spans="1:29" ht="15">
      <c r="A37" s="472"/>
      <c r="B37" s="422" t="s">
        <v>2749</v>
      </c>
      <c r="C37" s="2610"/>
      <c r="D37" s="435">
        <v>100</v>
      </c>
      <c r="E37" s="2610"/>
      <c r="F37" s="435">
        <f>SUMIF(114:114,E37,115:115)-SUMIF(114:114,C37,115:115)+100</f>
        <v>100</v>
      </c>
      <c r="G37" s="2610"/>
      <c r="H37" s="435">
        <f>SUMIF(114:114,G37,115:115)-SUMIF(114:114,C37,115:115)+100</f>
        <v>100</v>
      </c>
      <c r="I37" s="2610"/>
      <c r="J37" s="435">
        <f>SUMIF(114:114,I37,115:115)-SUMIF(114:114,C37,115:115)+100</f>
        <v>100</v>
      </c>
      <c r="K37" s="612"/>
      <c r="L37" s="1140"/>
      <c r="M37" s="1131"/>
      <c r="N37" s="1131"/>
      <c r="O37" s="1139"/>
      <c r="P37" s="3325" t="s">
        <v>2560</v>
      </c>
      <c r="Q37" s="1810" t="str">
        <f t="shared" si="14"/>
        <v>工程地质条件</v>
      </c>
      <c r="R37" s="774" t="s">
        <v>17</v>
      </c>
      <c r="S37" s="775">
        <f t="shared" si="10"/>
        <v>100</v>
      </c>
      <c r="T37" s="774" t="s">
        <v>17</v>
      </c>
      <c r="U37" s="775">
        <f t="shared" si="11"/>
        <v>100</v>
      </c>
      <c r="V37" s="774" t="s">
        <v>17</v>
      </c>
      <c r="W37" s="775">
        <f t="shared" si="12"/>
        <v>100</v>
      </c>
      <c r="X37" s="1813"/>
      <c r="Y37" s="3325" t="s">
        <v>2560</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325"/>
      <c r="Q38" s="1810">
        <f t="shared" si="14"/>
        <v>111</v>
      </c>
      <c r="R38" s="774" t="s">
        <v>17</v>
      </c>
      <c r="S38" s="775">
        <f t="shared" si="10"/>
        <v>100</v>
      </c>
      <c r="T38" s="774" t="s">
        <v>17</v>
      </c>
      <c r="U38" s="775">
        <f t="shared" si="11"/>
        <v>100</v>
      </c>
      <c r="V38" s="774" t="s">
        <v>17</v>
      </c>
      <c r="W38" s="775">
        <f t="shared" si="12"/>
        <v>100</v>
      </c>
      <c r="X38" s="1813"/>
      <c r="Y38" s="3325"/>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325"/>
      <c r="Q39" s="1810">
        <f t="shared" si="14"/>
        <v>111</v>
      </c>
      <c r="R39" s="774" t="s">
        <v>17</v>
      </c>
      <c r="S39" s="775">
        <f t="shared" si="10"/>
        <v>100</v>
      </c>
      <c r="T39" s="774" t="s">
        <v>17</v>
      </c>
      <c r="U39" s="775">
        <f t="shared" si="11"/>
        <v>100</v>
      </c>
      <c r="V39" s="774" t="s">
        <v>17</v>
      </c>
      <c r="W39" s="775">
        <f t="shared" si="12"/>
        <v>100</v>
      </c>
      <c r="X39" s="1813"/>
      <c r="Y39" s="3325"/>
      <c r="Z39" s="1814">
        <f t="shared" si="13"/>
        <v>111</v>
      </c>
      <c r="AA39" s="1811">
        <f t="shared" si="3"/>
        <v>1</v>
      </c>
      <c r="AB39" s="1811">
        <f t="shared" si="4"/>
        <v>1</v>
      </c>
      <c r="AC39" s="1811">
        <f t="shared" si="5"/>
        <v>1</v>
      </c>
    </row>
    <row r="40" spans="1:29" s="471" customFormat="1" ht="15.75" thickBot="1">
      <c r="A40" s="468"/>
      <c r="B40" s="1387">
        <v>111</v>
      </c>
      <c r="C40" s="2699"/>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325"/>
      <c r="Q40" s="1810">
        <f t="shared" si="14"/>
        <v>111</v>
      </c>
      <c r="R40" s="777" t="s">
        <v>17</v>
      </c>
      <c r="S40" s="778">
        <f t="shared" si="10"/>
        <v>100</v>
      </c>
      <c r="T40" s="777" t="s">
        <v>17</v>
      </c>
      <c r="U40" s="778">
        <f t="shared" si="11"/>
        <v>100</v>
      </c>
      <c r="V40" s="777" t="s">
        <v>17</v>
      </c>
      <c r="W40" s="778">
        <f t="shared" si="12"/>
        <v>100</v>
      </c>
      <c r="X40" s="779"/>
      <c r="Y40" s="3325"/>
      <c r="Z40" s="780">
        <f t="shared" si="13"/>
        <v>111</v>
      </c>
      <c r="AA40" s="1811">
        <f t="shared" si="3"/>
        <v>1</v>
      </c>
      <c r="AB40" s="1811">
        <f t="shared" si="4"/>
        <v>1</v>
      </c>
      <c r="AC40" s="1811">
        <f t="shared" si="5"/>
        <v>1</v>
      </c>
    </row>
    <row r="41" spans="1:29" ht="15">
      <c r="A41" s="479" t="s">
        <v>2715</v>
      </c>
      <c r="B41" s="2700" t="s">
        <v>2794</v>
      </c>
      <c r="C41" s="682" t="s">
        <v>1</v>
      </c>
      <c r="D41" s="481"/>
      <c r="E41" s="482"/>
      <c r="F41" s="483"/>
      <c r="G41" s="484"/>
      <c r="H41" s="485"/>
      <c r="I41" s="482"/>
      <c r="J41" s="485"/>
      <c r="K41" s="783"/>
      <c r="L41" s="1143"/>
      <c r="M41" s="1131"/>
      <c r="N41" s="1131"/>
      <c r="O41" s="1144"/>
      <c r="P41" s="3320" t="str">
        <f>A41</f>
        <v>成交单价</v>
      </c>
      <c r="Q41" s="3320"/>
      <c r="R41" s="3326">
        <f>E41</f>
        <v>0</v>
      </c>
      <c r="S41" s="3326"/>
      <c r="T41" s="3326">
        <f>G41</f>
        <v>0</v>
      </c>
      <c r="U41" s="3326"/>
      <c r="V41" s="3326">
        <f>I41</f>
        <v>0</v>
      </c>
      <c r="W41" s="3326"/>
      <c r="X41" s="759"/>
      <c r="Y41" s="781"/>
      <c r="Z41" s="759"/>
      <c r="AA41" s="759"/>
      <c r="AB41" s="759"/>
      <c r="AC41" s="759"/>
    </row>
    <row r="42" spans="1:29" ht="15.75" thickBot="1">
      <c r="A42" s="486" t="s">
        <v>2664</v>
      </c>
      <c r="B42" s="683"/>
      <c r="C42" s="490" t="e">
        <f>R43</f>
        <v>#DIV/0!</v>
      </c>
      <c r="D42" s="489"/>
      <c r="E42" s="490" t="e">
        <f>R42</f>
        <v>#DIV/0!</v>
      </c>
      <c r="F42" s="491"/>
      <c r="G42" s="488" t="e">
        <f>T42</f>
        <v>#DIV/0!</v>
      </c>
      <c r="H42" s="489"/>
      <c r="I42" s="490" t="e">
        <f>V42</f>
        <v>#DIV/0!</v>
      </c>
      <c r="J42" s="489"/>
      <c r="K42" s="784"/>
      <c r="L42" s="1143"/>
      <c r="M42" s="1131"/>
      <c r="N42" s="1131"/>
      <c r="O42" s="1144"/>
      <c r="P42" s="3320" t="str">
        <f>A42</f>
        <v>比较价值（元/平方米）</v>
      </c>
      <c r="Q42" s="3320"/>
      <c r="R42" s="3313" t="e">
        <f>ROUND(PRODUCT(R41,AA7:AA40),0)</f>
        <v>#DIV/0!</v>
      </c>
      <c r="S42" s="3313"/>
      <c r="T42" s="3313" t="e">
        <f>ROUND(PRODUCT(T41,AB7:AB40),0)</f>
        <v>#DIV/0!</v>
      </c>
      <c r="U42" s="3313"/>
      <c r="V42" s="3313" t="e">
        <f>ROUND(PRODUCT(V41,AC7:AC40),0)</f>
        <v>#DIV/0!</v>
      </c>
      <c r="W42" s="3313"/>
      <c r="X42" s="759"/>
      <c r="Y42" s="759"/>
      <c r="Z42" s="759"/>
      <c r="AA42" s="759"/>
      <c r="AB42" s="759"/>
      <c r="AC42" s="759"/>
    </row>
    <row r="43" spans="1:29" ht="15.75" thickBot="1">
      <c r="A43" s="492" t="s">
        <v>2665</v>
      </c>
      <c r="B43" s="493"/>
      <c r="C43" s="494" t="e">
        <f>R43</f>
        <v>#DIV/0!</v>
      </c>
      <c r="D43" s="494"/>
      <c r="E43" s="494"/>
      <c r="F43" s="494"/>
      <c r="G43" s="494"/>
      <c r="H43" s="494"/>
      <c r="I43" s="494"/>
      <c r="J43" s="494"/>
      <c r="K43" s="785"/>
      <c r="L43" s="1143"/>
      <c r="M43" s="1131"/>
      <c r="N43" s="1131"/>
      <c r="O43" s="1144"/>
      <c r="P43" s="3314" t="str">
        <f>A43</f>
        <v>估价对象XX用房的比较价值（楼面单价，元/平方米）</v>
      </c>
      <c r="Q43" s="3315"/>
      <c r="R43" s="3316" t="e">
        <f>ROUND(AVERAGE(R42:V42),0)</f>
        <v>#DIV/0!</v>
      </c>
      <c r="S43" s="3316"/>
      <c r="T43" s="3316"/>
      <c r="U43" s="3316"/>
      <c r="V43" s="3316"/>
      <c r="W43" s="3316"/>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2667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2752</v>
      </c>
      <c r="B50" s="685" t="s">
        <v>2753</v>
      </c>
      <c r="C50" s="2701" t="s">
        <v>2754</v>
      </c>
      <c r="D50" s="2702" t="s">
        <v>2755</v>
      </c>
      <c r="E50" s="686" t="s">
        <v>2756</v>
      </c>
      <c r="F50" s="687" t="s">
        <v>2757</v>
      </c>
      <c r="G50" s="3317" t="s">
        <v>2758</v>
      </c>
      <c r="H50" s="3318"/>
      <c r="I50" s="1814" t="s">
        <v>2795</v>
      </c>
      <c r="J50" s="1814">
        <f>项目基本情况!F35</f>
        <v>0</v>
      </c>
      <c r="K50" s="2704" t="s">
        <v>2760</v>
      </c>
      <c r="L50" s="1106"/>
      <c r="M50" s="1144"/>
      <c r="N50" s="1144"/>
      <c r="O50" s="1144"/>
    </row>
    <row r="51" spans="1:17" s="692" customFormat="1">
      <c r="A51" s="688" t="s">
        <v>2761</v>
      </c>
      <c r="B51" s="689" t="e">
        <f>C43</f>
        <v>#DIV/0!</v>
      </c>
      <c r="C51" s="690">
        <v>1</v>
      </c>
      <c r="D51" s="1163">
        <v>1</v>
      </c>
      <c r="E51" s="690">
        <f>'数据-汇总表'!E8+'数据-汇总表'!E9</f>
        <v>51317.149999999921</v>
      </c>
      <c r="F51" s="691" t="e">
        <f t="shared" ref="F51:F60" si="15">ROUND(B51*E51/10000,0)</f>
        <v>#DIV/0!</v>
      </c>
      <c r="G51" s="3319"/>
      <c r="H51" s="3320"/>
      <c r="I51" s="942">
        <v>1</v>
      </c>
      <c r="J51" s="942">
        <v>1</v>
      </c>
      <c r="K51" s="1145"/>
      <c r="L51" s="941"/>
      <c r="M51" s="941"/>
      <c r="N51" s="941"/>
      <c r="O51" s="941"/>
    </row>
    <row r="52" spans="1:17" s="692" customFormat="1">
      <c r="A52" s="693" t="s">
        <v>2762</v>
      </c>
      <c r="B52" s="262" t="e">
        <f>ROUND($C$43*C52*D52,0)</f>
        <v>#DIV/0!</v>
      </c>
      <c r="C52" s="200">
        <f t="shared" ref="C52:C60" si="16">IF($C$50="北京市系数",I52,J52)</f>
        <v>0.7</v>
      </c>
      <c r="D52" s="1164">
        <v>0.25</v>
      </c>
      <c r="E52" s="694"/>
      <c r="F52" s="691" t="e">
        <f t="shared" si="15"/>
        <v>#DIV/0!</v>
      </c>
      <c r="G52" s="3321" t="s">
        <v>2763</v>
      </c>
      <c r="H52" s="1104" t="str">
        <f>项目基本情况!B37</f>
        <v>七级</v>
      </c>
      <c r="I52" s="942">
        <f>SUMIF(修正!A45:A56,H52,修正!B45:B56)</f>
        <v>0.7</v>
      </c>
      <c r="J52" s="943"/>
      <c r="K52" s="1144"/>
      <c r="L52" s="941"/>
      <c r="M52" s="941"/>
      <c r="N52" s="941"/>
      <c r="O52" s="941"/>
    </row>
    <row r="53" spans="1:17" s="692" customFormat="1">
      <c r="A53" s="693" t="s">
        <v>2764</v>
      </c>
      <c r="B53" s="262" t="e">
        <f t="shared" ref="B53:B60" si="17">ROUND($C$43*C53*D53,0)</f>
        <v>#DIV/0!</v>
      </c>
      <c r="C53" s="200">
        <f t="shared" si="16"/>
        <v>0.4</v>
      </c>
      <c r="D53" s="1164">
        <v>0.25</v>
      </c>
      <c r="E53" s="694"/>
      <c r="F53" s="691" t="e">
        <f t="shared" si="15"/>
        <v>#DIV/0!</v>
      </c>
      <c r="G53" s="3321"/>
      <c r="H53" s="1104" t="str">
        <f>项目基本情况!B37</f>
        <v>七级</v>
      </c>
      <c r="I53" s="942">
        <f>SUMIF(修正!A45:A56,H53,修正!C45:C56)</f>
        <v>0.4</v>
      </c>
      <c r="J53" s="943"/>
      <c r="K53" s="1145"/>
      <c r="L53" s="941"/>
      <c r="M53" s="941"/>
      <c r="N53" s="941"/>
      <c r="O53" s="941"/>
    </row>
    <row r="54" spans="1:17" s="692" customFormat="1">
      <c r="A54" s="693" t="s">
        <v>2765</v>
      </c>
      <c r="B54" s="262" t="e">
        <f t="shared" si="17"/>
        <v>#DIV/0!</v>
      </c>
      <c r="C54" s="200">
        <f t="shared" si="16"/>
        <v>0.28000000000000003</v>
      </c>
      <c r="D54" s="1164">
        <v>0.25</v>
      </c>
      <c r="E54" s="694"/>
      <c r="F54" s="691" t="e">
        <f t="shared" si="15"/>
        <v>#DIV/0!</v>
      </c>
      <c r="G54" s="3321"/>
      <c r="H54" s="1104" t="str">
        <f>项目基本情况!B37</f>
        <v>七级</v>
      </c>
      <c r="I54" s="942">
        <f>SUMIF(修正!A45:A56,H54,修正!D45:D56)</f>
        <v>0.28000000000000003</v>
      </c>
      <c r="J54" s="943"/>
      <c r="K54" s="1144"/>
      <c r="L54" s="941"/>
      <c r="M54" s="941"/>
      <c r="N54" s="941"/>
      <c r="O54" s="941"/>
    </row>
    <row r="55" spans="1:17" s="692" customFormat="1">
      <c r="A55" s="693" t="s">
        <v>2766</v>
      </c>
      <c r="B55" s="262" t="e">
        <f t="shared" si="17"/>
        <v>#DIV/0!</v>
      </c>
      <c r="C55" s="200">
        <f t="shared" si="16"/>
        <v>0.25</v>
      </c>
      <c r="D55" s="1164">
        <v>0.25</v>
      </c>
      <c r="E55" s="694"/>
      <c r="F55" s="691" t="e">
        <f t="shared" si="15"/>
        <v>#DIV/0!</v>
      </c>
      <c r="G55" s="3321"/>
      <c r="H55" s="1104" t="str">
        <f>项目基本情况!B37</f>
        <v>七级</v>
      </c>
      <c r="I55" s="942">
        <f>SUMIF(修正!A45:A56,H55,修正!E45:E56)</f>
        <v>0.25</v>
      </c>
      <c r="J55" s="943"/>
      <c r="K55" s="1145"/>
      <c r="L55" s="941"/>
      <c r="M55" s="941"/>
      <c r="N55" s="941"/>
      <c r="O55" s="941"/>
    </row>
    <row r="56" spans="1:17" s="692" customFormat="1">
      <c r="A56" s="693" t="s">
        <v>2767</v>
      </c>
      <c r="B56" s="262" t="e">
        <f t="shared" si="17"/>
        <v>#DIV/0!</v>
      </c>
      <c r="C56" s="200">
        <f t="shared" si="16"/>
        <v>0.25</v>
      </c>
      <c r="D56" s="1164">
        <v>0.25</v>
      </c>
      <c r="E56" s="261">
        <f>'数据-汇总表'!E11</f>
        <v>0</v>
      </c>
      <c r="F56" s="691" t="e">
        <f t="shared" si="15"/>
        <v>#DIV/0!</v>
      </c>
      <c r="G56" s="2705" t="s">
        <v>2768</v>
      </c>
      <c r="H56" s="1104" t="str">
        <f>项目基本情况!C37</f>
        <v>七级</v>
      </c>
      <c r="I56" s="942">
        <f>SUMIF(修正!A45:A56,H56,修正!F45:F56)</f>
        <v>0.25</v>
      </c>
      <c r="J56" s="943"/>
      <c r="K56" s="1144"/>
      <c r="L56" s="941"/>
      <c r="M56" s="941"/>
      <c r="N56" s="941"/>
      <c r="O56" s="941"/>
    </row>
    <row r="57" spans="1:17" s="692" customFormat="1">
      <c r="A57" s="693" t="s">
        <v>2769</v>
      </c>
      <c r="B57" s="262" t="e">
        <f t="shared" si="17"/>
        <v>#DIV/0!</v>
      </c>
      <c r="C57" s="200">
        <f t="shared" si="16"/>
        <v>0.25</v>
      </c>
      <c r="D57" s="1164">
        <v>0.25</v>
      </c>
      <c r="E57" s="261">
        <f>'数据-汇总表'!E12</f>
        <v>37199.47</v>
      </c>
      <c r="F57" s="691" t="e">
        <f t="shared" si="15"/>
        <v>#DIV/0!</v>
      </c>
      <c r="G57" s="1109" t="s">
        <v>2770</v>
      </c>
      <c r="H57" s="1104" t="str">
        <f>IF(G57="商业",项目基本情况!B37,IF(G57="办公",项目基本情况!C37,IF(G57="住宅",项目基本情况!D37,项目基本情况!E37)))</f>
        <v>七级</v>
      </c>
      <c r="I57" s="942">
        <f>SUMIF(修正!A45:A56,H57,修正!G45:G56)</f>
        <v>0.25</v>
      </c>
      <c r="J57" s="943"/>
      <c r="K57" s="1145"/>
      <c r="L57" s="941"/>
      <c r="M57" s="941"/>
      <c r="N57" s="941"/>
      <c r="O57" s="941"/>
    </row>
    <row r="58" spans="1:17" s="692" customFormat="1">
      <c r="A58" s="693" t="s">
        <v>2771</v>
      </c>
      <c r="B58" s="262" t="e">
        <f t="shared" si="17"/>
        <v>#DIV/0!</v>
      </c>
      <c r="C58" s="200">
        <f t="shared" si="16"/>
        <v>0.2</v>
      </c>
      <c r="D58" s="1164">
        <v>0.25</v>
      </c>
      <c r="E58" s="261">
        <f>'数据-汇总表'!E13</f>
        <v>25201.510000000002</v>
      </c>
      <c r="F58" s="691" t="e">
        <f t="shared" si="15"/>
        <v>#DIV/0!</v>
      </c>
      <c r="G58" s="1109" t="s">
        <v>2772</v>
      </c>
      <c r="H58" s="1104" t="str">
        <f>IF(G58="商业",项目基本情况!B37,IF(G58="办公",项目基本情况!C37,IF(G58="住宅",项目基本情况!D37,项目基本情况!E37)))</f>
        <v>七级</v>
      </c>
      <c r="I58" s="942">
        <f>SUMIF(修正!A45:A56,H58,修正!H45:H56)</f>
        <v>0.2</v>
      </c>
      <c r="J58" s="943"/>
      <c r="K58" s="1144"/>
      <c r="L58" s="941"/>
      <c r="M58" s="941"/>
      <c r="N58" s="941"/>
      <c r="O58" s="941"/>
    </row>
    <row r="59" spans="1:17" s="692" customFormat="1">
      <c r="A59" s="693" t="s">
        <v>2773</v>
      </c>
      <c r="B59" s="262" t="e">
        <f t="shared" si="17"/>
        <v>#DIV/0!</v>
      </c>
      <c r="C59" s="200">
        <f t="shared" si="16"/>
        <v>0.2</v>
      </c>
      <c r="D59" s="1164">
        <v>0.25</v>
      </c>
      <c r="E59" s="261">
        <f>'数据-汇总表'!E14</f>
        <v>0</v>
      </c>
      <c r="F59" s="691" t="e">
        <f t="shared" si="15"/>
        <v>#DIV/0!</v>
      </c>
      <c r="G59" s="2705" t="s">
        <v>2763</v>
      </c>
      <c r="H59" s="1104" t="str">
        <f>项目基本情况!B37</f>
        <v>七级</v>
      </c>
      <c r="I59" s="942">
        <f>SUMIF(修正!A45:A56,H59,修正!H45:H56)</f>
        <v>0.2</v>
      </c>
      <c r="J59" s="943"/>
      <c r="K59" s="1145"/>
      <c r="L59" s="941"/>
      <c r="M59" s="941"/>
      <c r="N59" s="941"/>
      <c r="O59" s="941"/>
    </row>
    <row r="60" spans="1:17" s="692" customFormat="1" ht="15" thickBot="1">
      <c r="A60" s="693" t="s">
        <v>2774</v>
      </c>
      <c r="B60" s="262" t="e">
        <f t="shared" si="17"/>
        <v>#DIV/0!</v>
      </c>
      <c r="C60" s="200">
        <f t="shared" si="16"/>
        <v>0.2</v>
      </c>
      <c r="D60" s="1164">
        <v>0.25</v>
      </c>
      <c r="E60" s="261">
        <f>'数据-汇总表'!E15</f>
        <v>0</v>
      </c>
      <c r="F60" s="691" t="e">
        <f t="shared" si="15"/>
        <v>#DIV/0!</v>
      </c>
      <c r="G60" s="2706" t="s">
        <v>2768</v>
      </c>
      <c r="H60" s="1114" t="str">
        <f>项目基本情况!C37</f>
        <v>七级</v>
      </c>
      <c r="I60" s="942">
        <f>SUMIF(修正!A45:A56,H60,修正!H45:H56)</f>
        <v>0.2</v>
      </c>
      <c r="J60" s="943"/>
      <c r="K60" s="1144"/>
      <c r="L60" s="941"/>
      <c r="M60" s="941"/>
      <c r="N60" s="941"/>
      <c r="O60" s="941"/>
    </row>
    <row r="61" spans="1:17" s="692" customFormat="1" ht="15" thickBot="1">
      <c r="A61" s="695" t="s">
        <v>2775</v>
      </c>
      <c r="B61" s="696" t="s">
        <v>28</v>
      </c>
      <c r="C61" s="696" t="s">
        <v>29</v>
      </c>
      <c r="D61" s="696" t="s">
        <v>1029</v>
      </c>
      <c r="E61" s="696">
        <f>IF(B41="楼面地价",SUM(E51:E60),'数据-汇总表'!D3)</f>
        <v>31136.97</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2018-1-1</v>
      </c>
      <c r="D63" s="761">
        <f>EDATE(C63,-3)</f>
        <v>43009</v>
      </c>
      <c r="E63" s="761">
        <f>EDATE(D63,-3)</f>
        <v>42917</v>
      </c>
      <c r="F63" s="761">
        <f t="shared" ref="F63:O63" si="18">EDATE(E63,-3)</f>
        <v>42826</v>
      </c>
      <c r="G63" s="761">
        <f t="shared" si="18"/>
        <v>42736</v>
      </c>
      <c r="H63" s="761">
        <f t="shared" si="18"/>
        <v>42644</v>
      </c>
      <c r="I63" s="761">
        <f t="shared" si="18"/>
        <v>42552</v>
      </c>
      <c r="J63" s="761">
        <f t="shared" si="18"/>
        <v>42461</v>
      </c>
      <c r="K63" s="761">
        <f t="shared" si="18"/>
        <v>42370</v>
      </c>
      <c r="L63" s="761">
        <f t="shared" si="18"/>
        <v>42278</v>
      </c>
      <c r="M63" s="761">
        <f t="shared" si="18"/>
        <v>42186</v>
      </c>
      <c r="N63" s="761">
        <f t="shared" si="18"/>
        <v>42095</v>
      </c>
      <c r="O63" s="761">
        <f t="shared" si="18"/>
        <v>42005</v>
      </c>
    </row>
    <row r="64" spans="1:17" ht="21.75" thickBot="1">
      <c r="A64" s="763" t="s">
        <v>2669</v>
      </c>
      <c r="B64" s="759"/>
      <c r="C64" s="764"/>
      <c r="D64" s="764"/>
      <c r="E64" s="764"/>
      <c r="F64" s="765"/>
      <c r="G64" s="765"/>
      <c r="H64" s="764"/>
      <c r="I64" s="764"/>
      <c r="J64" s="764"/>
      <c r="K64" s="766"/>
      <c r="L64" s="767"/>
      <c r="M64" s="764"/>
      <c r="N64" s="764"/>
      <c r="O64" s="1159"/>
      <c r="P64" s="503"/>
      <c r="Q64" s="504"/>
    </row>
    <row r="65" spans="1:17" s="508" customFormat="1" ht="15">
      <c r="A65" s="2707" t="s">
        <v>2776</v>
      </c>
      <c r="B65" s="1359"/>
      <c r="C65" s="1572" t="str">
        <f>YEAR(C63)&amp;"-"&amp;ROUNDUP(MONTH(C63)/3,0)</f>
        <v>2018-1</v>
      </c>
      <c r="D65" s="1572" t="str">
        <f t="shared" ref="D65:O65" si="19">YEAR(D63)&amp;"-"&amp;ROUNDUP(MONTH(D63)/3,0)</f>
        <v>2017-4</v>
      </c>
      <c r="E65" s="1572" t="str">
        <f t="shared" si="19"/>
        <v>2017-3</v>
      </c>
      <c r="F65" s="1572" t="str">
        <f t="shared" si="19"/>
        <v>2017-2</v>
      </c>
      <c r="G65" s="1572" t="str">
        <f t="shared" si="19"/>
        <v>2017-1</v>
      </c>
      <c r="H65" s="1572" t="str">
        <f t="shared" si="19"/>
        <v>2016-4</v>
      </c>
      <c r="I65" s="1572" t="str">
        <f t="shared" si="19"/>
        <v>2016-3</v>
      </c>
      <c r="J65" s="1572" t="str">
        <f t="shared" si="19"/>
        <v>2016-2</v>
      </c>
      <c r="K65" s="1572" t="str">
        <f t="shared" si="19"/>
        <v>2016-1</v>
      </c>
      <c r="L65" s="1572" t="str">
        <f t="shared" si="19"/>
        <v>2015-4</v>
      </c>
      <c r="M65" s="1572" t="str">
        <f t="shared" si="19"/>
        <v>2015-3</v>
      </c>
      <c r="N65" s="1572" t="str">
        <f t="shared" si="19"/>
        <v>2015-2</v>
      </c>
      <c r="O65" s="1572" t="str">
        <f t="shared" si="19"/>
        <v>2015-1</v>
      </c>
      <c r="P65" s="507"/>
    </row>
    <row r="66" spans="1:17" s="117" customFormat="1" ht="30.75" customHeight="1">
      <c r="A66" s="2712" t="s">
        <v>2796</v>
      </c>
      <c r="B66" s="332" t="str">
        <f>"北京市平均增长率"&amp;TEXT(基准地价修正!P24,"0.00%")</f>
        <v>北京市平均增长率1.31%</v>
      </c>
      <c r="C66" s="603">
        <v>100</v>
      </c>
      <c r="D66" s="595"/>
      <c r="E66" s="595"/>
      <c r="F66" s="595"/>
      <c r="G66" s="595"/>
      <c r="H66" s="595"/>
      <c r="I66" s="595"/>
      <c r="J66" s="595"/>
      <c r="K66" s="595"/>
      <c r="L66" s="595"/>
      <c r="M66" s="1567"/>
      <c r="N66" s="1567"/>
      <c r="O66" s="1569"/>
      <c r="P66" s="504"/>
    </row>
    <row r="67" spans="1:17" s="117" customFormat="1" ht="15.75" thickBot="1">
      <c r="A67" s="515" t="s">
        <v>2580</v>
      </c>
      <c r="B67" s="516"/>
      <c r="C67" s="517"/>
      <c r="D67" s="518"/>
      <c r="E67" s="518"/>
      <c r="F67" s="518"/>
      <c r="G67" s="518"/>
      <c r="H67" s="518"/>
      <c r="I67" s="518"/>
      <c r="J67" s="518"/>
      <c r="K67" s="518"/>
      <c r="L67" s="518"/>
      <c r="M67" s="519"/>
      <c r="N67" s="519"/>
      <c r="O67" s="520"/>
      <c r="P67" s="504"/>
      <c r="Q67" s="504"/>
    </row>
    <row r="68" spans="1:17" s="117" customFormat="1" ht="15">
      <c r="A68" s="521" t="s">
        <v>2545</v>
      </c>
      <c r="B68" s="510"/>
      <c r="C68" s="522" t="s">
        <v>2647</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2583</v>
      </c>
      <c r="B70" s="528" t="s">
        <v>2549</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2552</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2553</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2554</v>
      </c>
      <c r="B83" s="528" t="s">
        <v>2700</v>
      </c>
      <c r="C83" s="573" t="s">
        <v>2592</v>
      </c>
      <c r="D83" s="573" t="s">
        <v>2593</v>
      </c>
      <c r="E83" s="573" t="s">
        <v>2594</v>
      </c>
      <c r="F83" s="573" t="s">
        <v>2595</v>
      </c>
      <c r="G83" s="573" t="s">
        <v>2596</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2597</v>
      </c>
      <c r="C85" s="578" t="s">
        <v>2592</v>
      </c>
      <c r="D85" s="578" t="s">
        <v>2593</v>
      </c>
      <c r="E85" s="578" t="s">
        <v>2594</v>
      </c>
      <c r="F85" s="578" t="s">
        <v>2595</v>
      </c>
      <c r="G85" s="578" t="s">
        <v>2596</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2779</v>
      </c>
      <c r="C87" s="573" t="s">
        <v>2592</v>
      </c>
      <c r="D87" s="573" t="s">
        <v>2593</v>
      </c>
      <c r="E87" s="573" t="s">
        <v>2594</v>
      </c>
      <c r="F87" s="573" t="s">
        <v>2595</v>
      </c>
      <c r="G87" s="573" t="s">
        <v>2596</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2780</v>
      </c>
      <c r="C89" s="573" t="s">
        <v>2592</v>
      </c>
      <c r="D89" s="573" t="s">
        <v>2593</v>
      </c>
      <c r="E89" s="573" t="s">
        <v>2594</v>
      </c>
      <c r="F89" s="573" t="s">
        <v>2595</v>
      </c>
      <c r="G89" s="573" t="s">
        <v>2596</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2649</v>
      </c>
      <c r="C91" s="573" t="s">
        <v>2592</v>
      </c>
      <c r="D91" s="573" t="s">
        <v>2593</v>
      </c>
      <c r="E91" s="573" t="s">
        <v>2594</v>
      </c>
      <c r="F91" s="573" t="s">
        <v>2595</v>
      </c>
      <c r="G91" s="573" t="s">
        <v>2596</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2797</v>
      </c>
      <c r="C93" s="660" t="s">
        <v>2670</v>
      </c>
      <c r="D93" s="660" t="s">
        <v>2671</v>
      </c>
      <c r="E93" s="660" t="s">
        <v>2672</v>
      </c>
      <c r="F93" s="660" t="s">
        <v>2673</v>
      </c>
      <c r="G93" s="660" t="s">
        <v>2674</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2781</v>
      </c>
      <c r="D95" s="539" t="s">
        <v>2782</v>
      </c>
      <c r="E95" s="539" t="s">
        <v>2783</v>
      </c>
      <c r="F95" s="539" t="s">
        <v>2784</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2686</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2744</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2558</v>
      </c>
      <c r="B107" s="528" t="s">
        <v>2785</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2786</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2788</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2789</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8" priority="14" stopIfTrue="1" operator="containsText" text="超过">
      <formula>NOT(ISERROR(SEARCH("超过",F46)))</formula>
    </cfRule>
  </conditionalFormatting>
  <conditionalFormatting sqref="J48">
    <cfRule type="containsText" dxfId="27" priority="13" stopIfTrue="1" operator="containsText" text="超过">
      <formula>NOT(ISERROR(SEARCH("超过",J48)))</formula>
    </cfRule>
  </conditionalFormatting>
  <conditionalFormatting sqref="H48">
    <cfRule type="containsText" dxfId="26" priority="12" stopIfTrue="1" operator="containsText" text="超过">
      <formula>NOT(ISERROR(SEARCH("超过",H48)))</formula>
    </cfRule>
  </conditionalFormatting>
  <conditionalFormatting sqref="F48">
    <cfRule type="containsText" dxfId="25" priority="11" stopIfTrue="1" operator="containsText" text="超过">
      <formula>NOT(ISERROR(SEARCH("超过",F48)))</formula>
    </cfRule>
  </conditionalFormatting>
  <conditionalFormatting sqref="F47 H47 J47">
    <cfRule type="containsText" dxfId="24" priority="10" stopIfTrue="1" operator="containsText" text="超过">
      <formula>NOT(ISERROR(SEARCH("超过",F47)))</formula>
    </cfRule>
  </conditionalFormatting>
  <conditionalFormatting sqref="E46">
    <cfRule type="expression" dxfId="23" priority="9" stopIfTrue="1">
      <formula>$F$46="超过30%"</formula>
    </cfRule>
  </conditionalFormatting>
  <conditionalFormatting sqref="G48">
    <cfRule type="expression" dxfId="22" priority="8" stopIfTrue="1">
      <formula>$H$48="超过30%"</formula>
    </cfRule>
  </conditionalFormatting>
  <conditionalFormatting sqref="E48">
    <cfRule type="expression" dxfId="21" priority="6" stopIfTrue="1">
      <formula>$F$48="超过30%"</formula>
    </cfRule>
  </conditionalFormatting>
  <conditionalFormatting sqref="G46">
    <cfRule type="expression" dxfId="20" priority="5" stopIfTrue="1">
      <formula>$H$46="超过30%"</formula>
    </cfRule>
  </conditionalFormatting>
  <conditionalFormatting sqref="G47">
    <cfRule type="expression" dxfId="19" priority="4" stopIfTrue="1">
      <formula>$H$47="超过20%"</formula>
    </cfRule>
  </conditionalFormatting>
  <conditionalFormatting sqref="I46">
    <cfRule type="expression" dxfId="18" priority="3" stopIfTrue="1">
      <formula>$J$46="超过30%"</formula>
    </cfRule>
  </conditionalFormatting>
  <conditionalFormatting sqref="I47">
    <cfRule type="expression" dxfId="17" priority="2" stopIfTrue="1">
      <formula>$J$47="超过20%"</formula>
    </cfRule>
  </conditionalFormatting>
  <conditionalFormatting sqref="I48">
    <cfRule type="expression" dxfId="16" priority="1" stopIfTrue="1">
      <formula>$J$48="超过30%"</formula>
    </cfRule>
  </conditionalFormatting>
  <conditionalFormatting sqref="E47">
    <cfRule type="expression" dxfId="1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3" customWidth="1"/>
    <col min="2" max="9" width="8.25" style="875" customWidth="1"/>
    <col min="10" max="13" width="8.25" style="813"/>
    <col min="14" max="14" width="10" style="813" customWidth="1"/>
    <col min="15" max="16" width="8.25" style="813"/>
    <col min="17" max="17" width="34.125" style="813" customWidth="1"/>
    <col min="18" max="18" width="8.25" style="813" customWidth="1"/>
    <col min="19" max="19" width="8.25" style="813"/>
    <col min="20" max="20" width="11.625" style="813" customWidth="1"/>
    <col min="21" max="16384" width="8.25" style="813"/>
  </cols>
  <sheetData>
    <row r="1" spans="1:13" ht="19.5" customHeight="1" thickBot="1">
      <c r="A1" s="853" t="s">
        <v>546</v>
      </c>
      <c r="B1" s="828" t="s">
        <v>157</v>
      </c>
      <c r="C1" s="828" t="s">
        <v>158</v>
      </c>
      <c r="D1" s="828" t="s">
        <v>159</v>
      </c>
      <c r="E1" s="828" t="s">
        <v>160</v>
      </c>
      <c r="F1" s="828" t="s">
        <v>161</v>
      </c>
      <c r="G1" s="828" t="s">
        <v>162</v>
      </c>
      <c r="H1" s="828" t="s">
        <v>163</v>
      </c>
      <c r="I1" s="828" t="s">
        <v>164</v>
      </c>
      <c r="J1" s="828" t="s">
        <v>165</v>
      </c>
      <c r="K1" s="828" t="s">
        <v>166</v>
      </c>
      <c r="L1" s="828" t="s">
        <v>167</v>
      </c>
      <c r="M1" s="829" t="s">
        <v>168</v>
      </c>
    </row>
    <row r="2" spans="1:13" ht="19.5" customHeight="1">
      <c r="A2" s="854" t="s">
        <v>183</v>
      </c>
      <c r="B2" s="855">
        <v>3.5</v>
      </c>
      <c r="C2" s="855">
        <v>3.5</v>
      </c>
      <c r="D2" s="856">
        <v>2.5</v>
      </c>
      <c r="E2" s="856">
        <v>2.5</v>
      </c>
      <c r="F2" s="856">
        <v>2.5</v>
      </c>
      <c r="G2" s="856">
        <v>2.5</v>
      </c>
      <c r="H2" s="856">
        <v>2.5</v>
      </c>
      <c r="I2" s="855">
        <v>2</v>
      </c>
      <c r="J2" s="855">
        <v>2</v>
      </c>
      <c r="K2" s="855">
        <v>2</v>
      </c>
      <c r="L2" s="855">
        <v>2</v>
      </c>
      <c r="M2" s="857">
        <v>2</v>
      </c>
    </row>
    <row r="3" spans="1:13" ht="19.5" customHeight="1">
      <c r="A3" s="858" t="s">
        <v>184</v>
      </c>
      <c r="B3" s="859">
        <v>3.5</v>
      </c>
      <c r="C3" s="859">
        <v>3.5</v>
      </c>
      <c r="D3" s="860">
        <v>2.5</v>
      </c>
      <c r="E3" s="860">
        <v>2.5</v>
      </c>
      <c r="F3" s="860">
        <v>2.5</v>
      </c>
      <c r="G3" s="860">
        <v>2.5</v>
      </c>
      <c r="H3" s="860">
        <v>2.5</v>
      </c>
      <c r="I3" s="859">
        <v>2</v>
      </c>
      <c r="J3" s="859">
        <v>2</v>
      </c>
      <c r="K3" s="859">
        <v>2</v>
      </c>
      <c r="L3" s="859">
        <v>2</v>
      </c>
      <c r="M3" s="861">
        <v>2</v>
      </c>
    </row>
    <row r="4" spans="1:13" ht="19.5" customHeight="1">
      <c r="A4" s="858" t="s">
        <v>752</v>
      </c>
      <c r="B4" s="860">
        <v>2.5</v>
      </c>
      <c r="C4" s="860">
        <v>2.5</v>
      </c>
      <c r="D4" s="860">
        <v>2.5</v>
      </c>
      <c r="E4" s="860">
        <v>2.5</v>
      </c>
      <c r="F4" s="860">
        <v>2.5</v>
      </c>
      <c r="G4" s="860">
        <v>2.5</v>
      </c>
      <c r="H4" s="860">
        <v>2.5</v>
      </c>
      <c r="I4" s="859">
        <v>1.5</v>
      </c>
      <c r="J4" s="859">
        <v>1.5</v>
      </c>
      <c r="K4" s="859">
        <v>1.5</v>
      </c>
      <c r="L4" s="859">
        <v>1.5</v>
      </c>
      <c r="M4" s="861">
        <v>1.5</v>
      </c>
    </row>
    <row r="5" spans="1:13" ht="19.5" customHeight="1" thickBot="1">
      <c r="A5" s="862" t="s">
        <v>186</v>
      </c>
      <c r="B5" s="863">
        <v>1.5</v>
      </c>
      <c r="C5" s="863">
        <v>1.5</v>
      </c>
      <c r="D5" s="863">
        <v>1.5</v>
      </c>
      <c r="E5" s="863">
        <v>1.5</v>
      </c>
      <c r="F5" s="863">
        <v>1.5</v>
      </c>
      <c r="G5" s="864">
        <v>1.2</v>
      </c>
      <c r="H5" s="864">
        <v>1.2</v>
      </c>
      <c r="I5" s="864">
        <v>1</v>
      </c>
      <c r="J5" s="864">
        <v>1</v>
      </c>
      <c r="K5" s="864">
        <v>1</v>
      </c>
      <c r="L5" s="864">
        <v>1</v>
      </c>
      <c r="M5" s="865">
        <v>1</v>
      </c>
    </row>
    <row r="6" spans="1:13" ht="19.5" customHeight="1">
      <c r="A6" s="866" t="s">
        <v>547</v>
      </c>
      <c r="B6" s="867">
        <v>80</v>
      </c>
      <c r="C6" s="867">
        <v>80</v>
      </c>
      <c r="D6" s="867">
        <v>65</v>
      </c>
      <c r="E6" s="867">
        <v>65</v>
      </c>
      <c r="F6" s="867">
        <v>65</v>
      </c>
      <c r="G6" s="867">
        <v>65</v>
      </c>
      <c r="H6" s="867">
        <v>65</v>
      </c>
      <c r="I6" s="867">
        <v>50</v>
      </c>
      <c r="J6" s="867">
        <v>50</v>
      </c>
      <c r="K6" s="867">
        <v>50</v>
      </c>
      <c r="L6" s="867">
        <v>50</v>
      </c>
      <c r="M6" s="868">
        <v>50</v>
      </c>
    </row>
    <row r="7" spans="1:13" ht="19.5" customHeight="1">
      <c r="A7" s="814" t="s">
        <v>548</v>
      </c>
      <c r="B7" s="815">
        <v>70</v>
      </c>
      <c r="C7" s="815">
        <v>70</v>
      </c>
      <c r="D7" s="815">
        <v>55</v>
      </c>
      <c r="E7" s="815">
        <v>55</v>
      </c>
      <c r="F7" s="815">
        <v>55</v>
      </c>
      <c r="G7" s="815">
        <v>55</v>
      </c>
      <c r="H7" s="815">
        <v>55</v>
      </c>
      <c r="I7" s="815">
        <v>40</v>
      </c>
      <c r="J7" s="815">
        <v>40</v>
      </c>
      <c r="K7" s="815">
        <v>40</v>
      </c>
      <c r="L7" s="815">
        <v>40</v>
      </c>
      <c r="M7" s="869">
        <v>40</v>
      </c>
    </row>
    <row r="8" spans="1:13" ht="19.5" customHeight="1">
      <c r="A8" s="814" t="s">
        <v>549</v>
      </c>
      <c r="B8" s="815">
        <v>20</v>
      </c>
      <c r="C8" s="815">
        <v>20</v>
      </c>
      <c r="D8" s="815">
        <v>15</v>
      </c>
      <c r="E8" s="815">
        <v>15</v>
      </c>
      <c r="F8" s="815">
        <v>15</v>
      </c>
      <c r="G8" s="815">
        <v>15</v>
      </c>
      <c r="H8" s="815">
        <v>15</v>
      </c>
      <c r="I8" s="815">
        <v>10</v>
      </c>
      <c r="J8" s="815">
        <v>10</v>
      </c>
      <c r="K8" s="815">
        <v>10</v>
      </c>
      <c r="L8" s="815">
        <v>10</v>
      </c>
      <c r="M8" s="869">
        <v>10</v>
      </c>
    </row>
    <row r="9" spans="1:13" ht="19.5" customHeight="1">
      <c r="A9" s="814" t="s">
        <v>550</v>
      </c>
      <c r="B9" s="815">
        <v>30</v>
      </c>
      <c r="C9" s="815">
        <v>30</v>
      </c>
      <c r="D9" s="815">
        <v>25</v>
      </c>
      <c r="E9" s="815">
        <v>25</v>
      </c>
      <c r="F9" s="815">
        <v>25</v>
      </c>
      <c r="G9" s="815">
        <v>25</v>
      </c>
      <c r="H9" s="815">
        <v>25</v>
      </c>
      <c r="I9" s="815">
        <v>20</v>
      </c>
      <c r="J9" s="815">
        <v>20</v>
      </c>
      <c r="K9" s="815">
        <v>20</v>
      </c>
      <c r="L9" s="815">
        <v>20</v>
      </c>
      <c r="M9" s="869">
        <v>20</v>
      </c>
    </row>
    <row r="10" spans="1:13" ht="19.5" customHeight="1">
      <c r="A10" s="814" t="s">
        <v>551</v>
      </c>
      <c r="B10" s="815">
        <v>45</v>
      </c>
      <c r="C10" s="815">
        <v>45</v>
      </c>
      <c r="D10" s="815">
        <v>35</v>
      </c>
      <c r="E10" s="815">
        <v>35</v>
      </c>
      <c r="F10" s="815">
        <v>35</v>
      </c>
      <c r="G10" s="815">
        <v>35</v>
      </c>
      <c r="H10" s="815">
        <v>35</v>
      </c>
      <c r="I10" s="815">
        <v>25</v>
      </c>
      <c r="J10" s="815">
        <v>25</v>
      </c>
      <c r="K10" s="815">
        <v>25</v>
      </c>
      <c r="L10" s="815">
        <v>25</v>
      </c>
      <c r="M10" s="869">
        <v>25</v>
      </c>
    </row>
    <row r="11" spans="1:13" ht="19.5" customHeight="1">
      <c r="A11" s="814" t="s">
        <v>552</v>
      </c>
      <c r="B11" s="815">
        <v>60</v>
      </c>
      <c r="C11" s="815">
        <v>60</v>
      </c>
      <c r="D11" s="815">
        <v>50</v>
      </c>
      <c r="E11" s="815">
        <v>50</v>
      </c>
      <c r="F11" s="815">
        <v>50</v>
      </c>
      <c r="G11" s="815">
        <v>50</v>
      </c>
      <c r="H11" s="815">
        <v>50</v>
      </c>
      <c r="I11" s="815">
        <v>40</v>
      </c>
      <c r="J11" s="815">
        <v>40</v>
      </c>
      <c r="K11" s="815">
        <v>40</v>
      </c>
      <c r="L11" s="815">
        <v>40</v>
      </c>
      <c r="M11" s="869">
        <v>40</v>
      </c>
    </row>
    <row r="12" spans="1:13" ht="19.5" customHeight="1">
      <c r="A12" s="814" t="s">
        <v>553</v>
      </c>
      <c r="B12" s="815">
        <v>50</v>
      </c>
      <c r="C12" s="815">
        <v>50</v>
      </c>
      <c r="D12" s="815">
        <v>40</v>
      </c>
      <c r="E12" s="815">
        <v>40</v>
      </c>
      <c r="F12" s="815">
        <v>40</v>
      </c>
      <c r="G12" s="815">
        <v>40</v>
      </c>
      <c r="H12" s="815">
        <v>40</v>
      </c>
      <c r="I12" s="815">
        <v>30</v>
      </c>
      <c r="J12" s="815">
        <v>30</v>
      </c>
      <c r="K12" s="815">
        <v>30</v>
      </c>
      <c r="L12" s="815">
        <v>30</v>
      </c>
      <c r="M12" s="869">
        <v>30</v>
      </c>
    </row>
    <row r="13" spans="1:13" ht="19.5" customHeight="1">
      <c r="A13" s="870" t="s">
        <v>554</v>
      </c>
      <c r="B13" s="820">
        <v>20</v>
      </c>
      <c r="C13" s="820">
        <v>20</v>
      </c>
      <c r="D13" s="820">
        <v>15</v>
      </c>
      <c r="E13" s="820">
        <v>15</v>
      </c>
      <c r="F13" s="820">
        <v>15</v>
      </c>
      <c r="G13" s="820">
        <v>15</v>
      </c>
      <c r="H13" s="820">
        <v>15</v>
      </c>
      <c r="I13" s="820">
        <v>10</v>
      </c>
      <c r="J13" s="820">
        <v>10</v>
      </c>
      <c r="K13" s="820">
        <v>10</v>
      </c>
      <c r="L13" s="820">
        <v>10</v>
      </c>
      <c r="M13" s="871">
        <v>10</v>
      </c>
    </row>
    <row r="14" spans="1:13" ht="19.5" customHeight="1">
      <c r="A14" s="815" t="s">
        <v>555</v>
      </c>
      <c r="B14" s="872">
        <v>0</v>
      </c>
      <c r="C14" s="872">
        <v>0</v>
      </c>
      <c r="D14" s="872">
        <v>0</v>
      </c>
      <c r="E14" s="872">
        <v>0</v>
      </c>
      <c r="F14" s="872">
        <v>0</v>
      </c>
      <c r="G14" s="872">
        <v>0</v>
      </c>
      <c r="H14" s="872">
        <v>0</v>
      </c>
      <c r="I14" s="872">
        <v>0</v>
      </c>
      <c r="J14" s="872">
        <v>0</v>
      </c>
      <c r="K14" s="872">
        <v>0</v>
      </c>
      <c r="L14" s="872">
        <v>0</v>
      </c>
      <c r="M14" s="872">
        <v>0</v>
      </c>
    </row>
    <row r="16" spans="1:13" ht="19.5" customHeight="1">
      <c r="A16" s="873" t="s">
        <v>556</v>
      </c>
      <c r="B16" s="873"/>
      <c r="C16" s="874"/>
      <c r="D16" s="874"/>
      <c r="E16" s="873"/>
      <c r="F16" s="874"/>
      <c r="G16" s="874"/>
    </row>
    <row r="17" spans="1:9" ht="19.5" customHeight="1">
      <c r="A17" s="815" t="s">
        <v>557</v>
      </c>
      <c r="B17" s="876" t="s">
        <v>558</v>
      </c>
      <c r="C17" s="933" t="s">
        <v>758</v>
      </c>
      <c r="D17" s="877"/>
      <c r="E17" s="815" t="s">
        <v>559</v>
      </c>
      <c r="F17" s="878"/>
      <c r="G17" s="878"/>
    </row>
    <row r="18" spans="1:9" s="884" customFormat="1" ht="19.5" customHeight="1">
      <c r="A18" s="3446" t="s">
        <v>183</v>
      </c>
      <c r="B18" s="879" t="s">
        <v>560</v>
      </c>
      <c r="C18" s="880" t="s">
        <v>561</v>
      </c>
      <c r="D18" s="881"/>
      <c r="E18" s="879">
        <v>1</v>
      </c>
      <c r="F18" s="882" t="s">
        <v>562</v>
      </c>
      <c r="G18" s="883"/>
      <c r="H18" s="875"/>
      <c r="I18" s="875"/>
    </row>
    <row r="19" spans="1:9" s="884" customFormat="1" ht="19.5" customHeight="1">
      <c r="A19" s="3446"/>
      <c r="B19" s="3446" t="s">
        <v>563</v>
      </c>
      <c r="C19" s="880" t="s">
        <v>564</v>
      </c>
      <c r="D19" s="881"/>
      <c r="E19" s="879">
        <v>0.9</v>
      </c>
      <c r="F19" s="882" t="s">
        <v>565</v>
      </c>
      <c r="G19" s="883"/>
      <c r="H19" s="875"/>
      <c r="I19" s="875"/>
    </row>
    <row r="20" spans="1:9" s="884" customFormat="1" ht="19.5" customHeight="1">
      <c r="A20" s="3446"/>
      <c r="B20" s="3446"/>
      <c r="C20" s="880" t="s">
        <v>566</v>
      </c>
      <c r="D20" s="881"/>
      <c r="E20" s="879">
        <v>1.1000000000000001</v>
      </c>
      <c r="F20" s="882" t="s">
        <v>567</v>
      </c>
      <c r="G20" s="883"/>
      <c r="H20" s="875"/>
      <c r="I20" s="875"/>
    </row>
    <row r="21" spans="1:9" s="884" customFormat="1" ht="19.5" customHeight="1">
      <c r="A21" s="3446"/>
      <c r="B21" s="3446"/>
      <c r="C21" s="880" t="s">
        <v>568</v>
      </c>
      <c r="D21" s="881"/>
      <c r="E21" s="879">
        <v>0.8</v>
      </c>
      <c r="F21" s="882" t="s">
        <v>569</v>
      </c>
      <c r="G21" s="883"/>
      <c r="H21" s="875"/>
      <c r="I21" s="875"/>
    </row>
    <row r="22" spans="1:9" s="884" customFormat="1" ht="19.5" customHeight="1">
      <c r="A22" s="3446"/>
      <c r="B22" s="3446"/>
      <c r="C22" s="880" t="s">
        <v>570</v>
      </c>
      <c r="D22" s="881"/>
      <c r="E22" s="879">
        <v>0.5</v>
      </c>
      <c r="F22" s="882"/>
      <c r="G22" s="883"/>
      <c r="H22" s="875"/>
      <c r="I22" s="875"/>
    </row>
    <row r="23" spans="1:9" s="884" customFormat="1" ht="19.5" customHeight="1">
      <c r="A23" s="3446" t="s">
        <v>184</v>
      </c>
      <c r="B23" s="879" t="s">
        <v>560</v>
      </c>
      <c r="C23" s="880" t="s">
        <v>571</v>
      </c>
      <c r="D23" s="881"/>
      <c r="E23" s="879">
        <v>1</v>
      </c>
      <c r="F23" s="882" t="s">
        <v>572</v>
      </c>
      <c r="G23" s="883"/>
      <c r="H23" s="875"/>
      <c r="I23" s="875"/>
    </row>
    <row r="24" spans="1:9" s="884" customFormat="1" ht="19.5" customHeight="1">
      <c r="A24" s="3446"/>
      <c r="B24" s="3446" t="s">
        <v>563</v>
      </c>
      <c r="C24" s="880" t="s">
        <v>573</v>
      </c>
      <c r="D24" s="881"/>
      <c r="E24" s="879">
        <v>0.5</v>
      </c>
      <c r="F24" s="882"/>
      <c r="G24" s="883"/>
      <c r="H24" s="875"/>
      <c r="I24" s="875"/>
    </row>
    <row r="25" spans="1:9" s="884" customFormat="1" ht="19.5" customHeight="1">
      <c r="A25" s="3446"/>
      <c r="B25" s="3446"/>
      <c r="C25" s="880" t="s">
        <v>574</v>
      </c>
      <c r="D25" s="881"/>
      <c r="E25" s="879">
        <v>1.1000000000000001</v>
      </c>
      <c r="F25" s="882"/>
      <c r="G25" s="883"/>
      <c r="H25" s="875"/>
      <c r="I25" s="875"/>
    </row>
    <row r="26" spans="1:9" s="884" customFormat="1" ht="19.5" customHeight="1">
      <c r="A26" s="3446"/>
      <c r="B26" s="3446"/>
      <c r="C26" s="880" t="s">
        <v>575</v>
      </c>
      <c r="D26" s="881"/>
      <c r="E26" s="879">
        <v>1.1000000000000001</v>
      </c>
      <c r="F26" s="882"/>
      <c r="G26" s="883"/>
      <c r="H26" s="875"/>
      <c r="I26" s="875"/>
    </row>
    <row r="27" spans="1:9" s="884" customFormat="1" ht="19.5" customHeight="1">
      <c r="A27" s="3446"/>
      <c r="B27" s="3446"/>
      <c r="C27" s="880" t="s">
        <v>576</v>
      </c>
      <c r="D27" s="881"/>
      <c r="E27" s="879">
        <v>0.9</v>
      </c>
      <c r="F27" s="882" t="s">
        <v>577</v>
      </c>
      <c r="G27" s="883"/>
      <c r="H27" s="875"/>
      <c r="I27" s="875"/>
    </row>
    <row r="28" spans="1:9" s="884" customFormat="1" ht="19.5" customHeight="1">
      <c r="A28" s="3446"/>
      <c r="B28" s="3446"/>
      <c r="C28" s="880" t="s">
        <v>578</v>
      </c>
      <c r="D28" s="881"/>
      <c r="E28" s="879">
        <v>0.9</v>
      </c>
      <c r="F28" s="882" t="s">
        <v>579</v>
      </c>
      <c r="G28" s="883"/>
      <c r="H28" s="875"/>
      <c r="I28" s="875"/>
    </row>
    <row r="29" spans="1:9" s="884" customFormat="1" ht="19.5" customHeight="1">
      <c r="A29" s="3446"/>
      <c r="B29" s="3446"/>
      <c r="C29" s="880" t="s">
        <v>580</v>
      </c>
      <c r="D29" s="881"/>
      <c r="E29" s="879">
        <v>0.9</v>
      </c>
      <c r="F29" s="882" t="s">
        <v>581</v>
      </c>
      <c r="G29" s="883"/>
      <c r="H29" s="875"/>
      <c r="I29" s="875"/>
    </row>
    <row r="30" spans="1:9" s="884" customFormat="1" ht="19.5" customHeight="1">
      <c r="A30" s="3446"/>
      <c r="B30" s="3446"/>
      <c r="C30" s="880" t="s">
        <v>582</v>
      </c>
      <c r="D30" s="881"/>
      <c r="E30" s="879">
        <v>0.9</v>
      </c>
      <c r="F30" s="882" t="s">
        <v>583</v>
      </c>
      <c r="G30" s="883"/>
      <c r="H30" s="875"/>
      <c r="I30" s="875"/>
    </row>
    <row r="31" spans="1:9" s="884" customFormat="1" ht="19.5" customHeight="1">
      <c r="A31" s="3446"/>
      <c r="B31" s="3446"/>
      <c r="C31" s="880" t="s">
        <v>584</v>
      </c>
      <c r="D31" s="881"/>
      <c r="E31" s="879">
        <v>0.8</v>
      </c>
      <c r="F31" s="882" t="s">
        <v>585</v>
      </c>
      <c r="G31" s="883"/>
      <c r="H31" s="875"/>
      <c r="I31" s="875"/>
    </row>
    <row r="32" spans="1:9" s="884" customFormat="1" ht="19.5" customHeight="1">
      <c r="A32" s="3446"/>
      <c r="B32" s="3446"/>
      <c r="C32" s="880" t="s">
        <v>586</v>
      </c>
      <c r="D32" s="881"/>
      <c r="E32" s="879">
        <v>0.8</v>
      </c>
      <c r="F32" s="882" t="s">
        <v>587</v>
      </c>
      <c r="G32" s="883"/>
      <c r="H32" s="875"/>
      <c r="I32" s="875"/>
    </row>
    <row r="33" spans="1:9" s="884" customFormat="1" ht="19.5" customHeight="1">
      <c r="A33" s="3446" t="s">
        <v>185</v>
      </c>
      <c r="B33" s="879" t="s">
        <v>560</v>
      </c>
      <c r="C33" s="880" t="s">
        <v>588</v>
      </c>
      <c r="D33" s="881"/>
      <c r="E33" s="879">
        <v>1</v>
      </c>
      <c r="F33" s="882" t="s">
        <v>589</v>
      </c>
      <c r="G33" s="883"/>
      <c r="H33" s="875"/>
      <c r="I33" s="875"/>
    </row>
    <row r="34" spans="1:9" s="884" customFormat="1" ht="19.5" customHeight="1">
      <c r="A34" s="3446"/>
      <c r="B34" s="879" t="s">
        <v>563</v>
      </c>
      <c r="C34" s="880" t="s">
        <v>590</v>
      </c>
      <c r="D34" s="881"/>
      <c r="E34" s="879">
        <v>1.5</v>
      </c>
      <c r="F34" s="882" t="s">
        <v>591</v>
      </c>
      <c r="G34" s="883"/>
      <c r="H34" s="875"/>
      <c r="I34" s="875"/>
    </row>
    <row r="35" spans="1:9" s="884" customFormat="1" ht="19.5" customHeight="1">
      <c r="A35" s="3446" t="s">
        <v>186</v>
      </c>
      <c r="B35" s="879" t="s">
        <v>560</v>
      </c>
      <c r="C35" s="880" t="s">
        <v>592</v>
      </c>
      <c r="D35" s="881"/>
      <c r="E35" s="879">
        <v>1</v>
      </c>
      <c r="F35" s="882" t="s">
        <v>593</v>
      </c>
      <c r="G35" s="883"/>
      <c r="H35" s="875"/>
      <c r="I35" s="875"/>
    </row>
    <row r="36" spans="1:9" s="884" customFormat="1" ht="19.5" customHeight="1">
      <c r="A36" s="3446"/>
      <c r="B36" s="3446" t="s">
        <v>563</v>
      </c>
      <c r="C36" s="880" t="s">
        <v>594</v>
      </c>
      <c r="D36" s="881"/>
      <c r="E36" s="879">
        <v>1</v>
      </c>
      <c r="F36" s="882" t="s">
        <v>595</v>
      </c>
      <c r="G36" s="883"/>
      <c r="H36" s="875"/>
      <c r="I36" s="875"/>
    </row>
    <row r="37" spans="1:9" s="884" customFormat="1" ht="19.5" customHeight="1">
      <c r="A37" s="3446"/>
      <c r="B37" s="3446"/>
      <c r="C37" s="880" t="s">
        <v>596</v>
      </c>
      <c r="D37" s="881"/>
      <c r="E37" s="879">
        <v>1.5</v>
      </c>
      <c r="F37" s="882" t="s">
        <v>597</v>
      </c>
      <c r="G37" s="883"/>
      <c r="H37" s="875"/>
      <c r="I37" s="875"/>
    </row>
    <row r="38" spans="1:9" s="884" customFormat="1" ht="19.5" customHeight="1">
      <c r="A38" s="3446"/>
      <c r="B38" s="3446"/>
      <c r="C38" s="880" t="s">
        <v>598</v>
      </c>
      <c r="D38" s="881"/>
      <c r="E38" s="879">
        <v>1</v>
      </c>
      <c r="F38" s="882" t="s">
        <v>599</v>
      </c>
      <c r="G38" s="883"/>
      <c r="H38" s="875"/>
      <c r="I38" s="875"/>
    </row>
    <row r="39" spans="1:9" s="884" customFormat="1" ht="19.5" customHeight="1">
      <c r="A39" s="3446"/>
      <c r="B39" s="3446"/>
      <c r="C39" s="880" t="s">
        <v>600</v>
      </c>
      <c r="D39" s="881"/>
      <c r="E39" s="879">
        <v>1</v>
      </c>
      <c r="F39" s="882" t="s">
        <v>601</v>
      </c>
      <c r="G39" s="883"/>
      <c r="H39" s="875"/>
      <c r="I39" s="875"/>
    </row>
    <row r="40" spans="1:9" s="884" customFormat="1" ht="19.5" customHeight="1">
      <c r="A40" s="885" t="s">
        <v>602</v>
      </c>
      <c r="B40" s="885"/>
      <c r="C40" s="885"/>
      <c r="D40" s="885"/>
      <c r="E40" s="885"/>
      <c r="F40" s="886"/>
      <c r="G40" s="886"/>
      <c r="H40" s="875"/>
      <c r="I40" s="875"/>
    </row>
    <row r="42" spans="1:9" ht="19.5" customHeight="1">
      <c r="A42" s="887"/>
      <c r="B42" s="815" t="s">
        <v>603</v>
      </c>
      <c r="C42" s="815" t="s">
        <v>603</v>
      </c>
      <c r="D42" s="815" t="s">
        <v>603</v>
      </c>
      <c r="E42" s="820" t="s">
        <v>603</v>
      </c>
      <c r="F42" s="820" t="s">
        <v>603</v>
      </c>
      <c r="G42" s="820" t="s">
        <v>604</v>
      </c>
      <c r="H42" s="820" t="s">
        <v>603</v>
      </c>
    </row>
    <row r="43" spans="1:9" ht="19.5" customHeight="1">
      <c r="A43" s="888"/>
      <c r="B43" s="820" t="s">
        <v>183</v>
      </c>
      <c r="C43" s="820" t="s">
        <v>183</v>
      </c>
      <c r="D43" s="820" t="s">
        <v>183</v>
      </c>
      <c r="E43" s="820" t="s">
        <v>183</v>
      </c>
      <c r="F43" s="815" t="s">
        <v>184</v>
      </c>
      <c r="G43" s="815" t="s">
        <v>186</v>
      </c>
      <c r="H43" s="815" t="s">
        <v>605</v>
      </c>
    </row>
    <row r="44" spans="1:9" ht="19.5" customHeight="1">
      <c r="A44" s="889"/>
      <c r="B44" s="815">
        <v>1</v>
      </c>
      <c r="C44" s="815">
        <v>2</v>
      </c>
      <c r="D44" s="815">
        <v>3</v>
      </c>
      <c r="E44" s="820">
        <v>4</v>
      </c>
      <c r="F44" s="877" t="s">
        <v>606</v>
      </c>
      <c r="G44" s="877" t="s">
        <v>606</v>
      </c>
      <c r="H44" s="877" t="s">
        <v>606</v>
      </c>
    </row>
    <row r="45" spans="1:9" ht="19.5" customHeight="1">
      <c r="A45" s="890" t="s">
        <v>157</v>
      </c>
      <c r="B45" s="815">
        <v>0.8</v>
      </c>
      <c r="C45" s="815">
        <v>0.5</v>
      </c>
      <c r="D45" s="815">
        <v>0.36</v>
      </c>
      <c r="E45" s="815">
        <v>0.3</v>
      </c>
      <c r="F45" s="877">
        <v>0.3</v>
      </c>
      <c r="G45" s="815">
        <v>0.3</v>
      </c>
      <c r="H45" s="815">
        <v>0.25</v>
      </c>
    </row>
    <row r="46" spans="1:9" ht="19.5" customHeight="1">
      <c r="A46" s="890" t="s">
        <v>158</v>
      </c>
      <c r="B46" s="815">
        <v>0.8</v>
      </c>
      <c r="C46" s="815">
        <v>0.5</v>
      </c>
      <c r="D46" s="815">
        <v>0.36</v>
      </c>
      <c r="E46" s="815">
        <v>0.3</v>
      </c>
      <c r="F46" s="815">
        <v>0.3</v>
      </c>
      <c r="G46" s="815">
        <v>0.3</v>
      </c>
      <c r="H46" s="815">
        <v>0.25</v>
      </c>
    </row>
    <row r="47" spans="1:9" ht="19.5" customHeight="1">
      <c r="A47" s="890" t="s">
        <v>159</v>
      </c>
      <c r="B47" s="815">
        <v>0.7</v>
      </c>
      <c r="C47" s="815">
        <v>0.4</v>
      </c>
      <c r="D47" s="815">
        <v>0.28000000000000003</v>
      </c>
      <c r="E47" s="815">
        <v>0.25</v>
      </c>
      <c r="F47" s="815">
        <v>0.25</v>
      </c>
      <c r="G47" s="815">
        <v>0.25</v>
      </c>
      <c r="H47" s="815">
        <v>0.2</v>
      </c>
    </row>
    <row r="48" spans="1:9" ht="19.5" customHeight="1">
      <c r="A48" s="890" t="s">
        <v>160</v>
      </c>
      <c r="B48" s="815">
        <v>0.7</v>
      </c>
      <c r="C48" s="815">
        <v>0.4</v>
      </c>
      <c r="D48" s="815">
        <v>0.28000000000000003</v>
      </c>
      <c r="E48" s="815">
        <v>0.25</v>
      </c>
      <c r="F48" s="815">
        <v>0.25</v>
      </c>
      <c r="G48" s="815">
        <v>0.25</v>
      </c>
      <c r="H48" s="815">
        <v>0.2</v>
      </c>
    </row>
    <row r="49" spans="1:8" s="875" customFormat="1" ht="19.5" customHeight="1">
      <c r="A49" s="890" t="s">
        <v>161</v>
      </c>
      <c r="B49" s="815">
        <v>0.7</v>
      </c>
      <c r="C49" s="815">
        <v>0.4</v>
      </c>
      <c r="D49" s="815">
        <v>0.28000000000000003</v>
      </c>
      <c r="E49" s="815">
        <v>0.25</v>
      </c>
      <c r="F49" s="815">
        <v>0.25</v>
      </c>
      <c r="G49" s="815">
        <v>0.25</v>
      </c>
      <c r="H49" s="815">
        <v>0.2</v>
      </c>
    </row>
    <row r="50" spans="1:8" s="875" customFormat="1" ht="19.5" customHeight="1">
      <c r="A50" s="890" t="s">
        <v>162</v>
      </c>
      <c r="B50" s="815">
        <v>0.7</v>
      </c>
      <c r="C50" s="815">
        <v>0.4</v>
      </c>
      <c r="D50" s="815">
        <v>0.28000000000000003</v>
      </c>
      <c r="E50" s="815">
        <v>0.25</v>
      </c>
      <c r="F50" s="815">
        <v>0.25</v>
      </c>
      <c r="G50" s="815">
        <v>0.25</v>
      </c>
      <c r="H50" s="815">
        <v>0.2</v>
      </c>
    </row>
    <row r="51" spans="1:8" s="875" customFormat="1" ht="19.5" customHeight="1">
      <c r="A51" s="890" t="s">
        <v>163</v>
      </c>
      <c r="B51" s="815">
        <v>0.7</v>
      </c>
      <c r="C51" s="815">
        <v>0.4</v>
      </c>
      <c r="D51" s="815">
        <v>0.28000000000000003</v>
      </c>
      <c r="E51" s="815">
        <v>0.25</v>
      </c>
      <c r="F51" s="815">
        <v>0.25</v>
      </c>
      <c r="G51" s="815">
        <v>0.25</v>
      </c>
      <c r="H51" s="815">
        <v>0.2</v>
      </c>
    </row>
    <row r="52" spans="1:8" s="875" customFormat="1" ht="19.5" customHeight="1">
      <c r="A52" s="890" t="s">
        <v>164</v>
      </c>
      <c r="B52" s="815">
        <v>0.6</v>
      </c>
      <c r="C52" s="815">
        <v>0.3</v>
      </c>
      <c r="D52" s="815">
        <v>0.2</v>
      </c>
      <c r="E52" s="815">
        <v>0.2</v>
      </c>
      <c r="F52" s="815">
        <v>0.2</v>
      </c>
      <c r="G52" s="815">
        <v>0.2</v>
      </c>
      <c r="H52" s="815">
        <v>0.15</v>
      </c>
    </row>
    <row r="53" spans="1:8" s="875" customFormat="1" ht="19.5" customHeight="1">
      <c r="A53" s="890" t="s">
        <v>165</v>
      </c>
      <c r="B53" s="815">
        <v>0.6</v>
      </c>
      <c r="C53" s="815">
        <v>0.3</v>
      </c>
      <c r="D53" s="815">
        <v>0.2</v>
      </c>
      <c r="E53" s="815">
        <v>0.2</v>
      </c>
      <c r="F53" s="815">
        <v>0.2</v>
      </c>
      <c r="G53" s="815">
        <v>0.2</v>
      </c>
      <c r="H53" s="815">
        <v>0.15</v>
      </c>
    </row>
    <row r="54" spans="1:8" s="875" customFormat="1" ht="19.5" customHeight="1">
      <c r="A54" s="890" t="s">
        <v>166</v>
      </c>
      <c r="B54" s="815">
        <v>0.6</v>
      </c>
      <c r="C54" s="815">
        <v>0.3</v>
      </c>
      <c r="D54" s="815">
        <v>0.2</v>
      </c>
      <c r="E54" s="815">
        <v>0.2</v>
      </c>
      <c r="F54" s="815">
        <v>0.2</v>
      </c>
      <c r="G54" s="815">
        <v>0.2</v>
      </c>
      <c r="H54" s="815">
        <v>0.15</v>
      </c>
    </row>
    <row r="55" spans="1:8" s="875" customFormat="1" ht="19.5" customHeight="1">
      <c r="A55" s="890" t="s">
        <v>167</v>
      </c>
      <c r="B55" s="815">
        <v>0.6</v>
      </c>
      <c r="C55" s="815">
        <v>0.3</v>
      </c>
      <c r="D55" s="815">
        <v>0.2</v>
      </c>
      <c r="E55" s="815">
        <v>0.2</v>
      </c>
      <c r="F55" s="815">
        <v>0.2</v>
      </c>
      <c r="G55" s="815">
        <v>0.2</v>
      </c>
      <c r="H55" s="815">
        <v>0.15</v>
      </c>
    </row>
    <row r="56" spans="1:8" s="875" customFormat="1" ht="19.5" customHeight="1">
      <c r="A56" s="890" t="s">
        <v>168</v>
      </c>
      <c r="B56" s="815">
        <v>0.6</v>
      </c>
      <c r="C56" s="815">
        <v>0.3</v>
      </c>
      <c r="D56" s="815">
        <v>0.2</v>
      </c>
      <c r="E56" s="815">
        <v>0.2</v>
      </c>
      <c r="F56" s="815">
        <v>0.2</v>
      </c>
      <c r="G56" s="815">
        <v>0.2</v>
      </c>
      <c r="H56" s="815">
        <v>0.15</v>
      </c>
    </row>
    <row r="58" spans="1:8" s="875" customFormat="1" ht="19.5" customHeight="1">
      <c r="A58" s="891"/>
      <c r="B58" s="873"/>
      <c r="C58" s="873"/>
      <c r="D58" s="873" t="s">
        <v>607</v>
      </c>
      <c r="E58" s="873"/>
      <c r="F58" s="873"/>
    </row>
    <row r="59" spans="1:8" s="875" customFormat="1" ht="19.5" customHeight="1">
      <c r="A59" s="879" t="s">
        <v>608</v>
      </c>
      <c r="B59" s="879" t="s">
        <v>609</v>
      </c>
      <c r="C59" s="879" t="s">
        <v>610</v>
      </c>
      <c r="D59" s="879" t="s">
        <v>611</v>
      </c>
      <c r="E59" s="879" t="s">
        <v>612</v>
      </c>
      <c r="F59" s="879" t="s">
        <v>613</v>
      </c>
    </row>
    <row r="60" spans="1:8" ht="13.5">
      <c r="A60" s="940"/>
      <c r="B60" s="940"/>
      <c r="C60" s="940" t="s">
        <v>745</v>
      </c>
      <c r="D60" s="940"/>
      <c r="E60" s="892" t="s">
        <v>1</v>
      </c>
      <c r="F60" s="940" t="s">
        <v>1</v>
      </c>
    </row>
    <row r="61" spans="1:8" s="875" customFormat="1" ht="24">
      <c r="A61" s="879">
        <v>1</v>
      </c>
      <c r="B61" s="3446" t="s">
        <v>614</v>
      </c>
      <c r="C61" s="815" t="s">
        <v>615</v>
      </c>
      <c r="D61" s="815" t="s">
        <v>616</v>
      </c>
      <c r="E61" s="892">
        <v>0.5</v>
      </c>
      <c r="F61" s="879">
        <v>80</v>
      </c>
    </row>
    <row r="62" spans="1:8" s="875" customFormat="1" ht="24">
      <c r="A62" s="879">
        <v>2</v>
      </c>
      <c r="B62" s="3446"/>
      <c r="C62" s="815" t="s">
        <v>617</v>
      </c>
      <c r="D62" s="815" t="s">
        <v>618</v>
      </c>
      <c r="E62" s="892">
        <v>0.5</v>
      </c>
      <c r="F62" s="879">
        <v>80</v>
      </c>
    </row>
    <row r="63" spans="1:8" s="875" customFormat="1" ht="36">
      <c r="A63" s="879">
        <v>3</v>
      </c>
      <c r="B63" s="3446"/>
      <c r="C63" s="815" t="s">
        <v>619</v>
      </c>
      <c r="D63" s="815" t="s">
        <v>620</v>
      </c>
      <c r="E63" s="892">
        <v>0.5</v>
      </c>
      <c r="F63" s="879">
        <v>80</v>
      </c>
    </row>
    <row r="64" spans="1:8" s="875" customFormat="1" ht="36">
      <c r="A64" s="879">
        <v>4</v>
      </c>
      <c r="B64" s="3446"/>
      <c r="C64" s="815" t="s">
        <v>621</v>
      </c>
      <c r="D64" s="815" t="s">
        <v>622</v>
      </c>
      <c r="E64" s="892">
        <v>0.4</v>
      </c>
      <c r="F64" s="879">
        <v>60</v>
      </c>
    </row>
    <row r="65" spans="1:6" s="875" customFormat="1" ht="36">
      <c r="A65" s="879">
        <v>5</v>
      </c>
      <c r="B65" s="3446"/>
      <c r="C65" s="815" t="s">
        <v>623</v>
      </c>
      <c r="D65" s="815" t="s">
        <v>624</v>
      </c>
      <c r="E65" s="892">
        <v>0.2</v>
      </c>
      <c r="F65" s="879">
        <v>30</v>
      </c>
    </row>
    <row r="66" spans="1:6" s="875" customFormat="1" ht="36">
      <c r="A66" s="879">
        <v>6</v>
      </c>
      <c r="B66" s="3446"/>
      <c r="C66" s="815" t="s">
        <v>625</v>
      </c>
      <c r="D66" s="815" t="s">
        <v>626</v>
      </c>
      <c r="E66" s="892">
        <v>0.3</v>
      </c>
      <c r="F66" s="879">
        <v>50</v>
      </c>
    </row>
    <row r="67" spans="1:6" s="875" customFormat="1" ht="36">
      <c r="A67" s="879">
        <v>7</v>
      </c>
      <c r="B67" s="3446"/>
      <c r="C67" s="815" t="s">
        <v>627</v>
      </c>
      <c r="D67" s="815" t="s">
        <v>628</v>
      </c>
      <c r="E67" s="892">
        <v>0.2</v>
      </c>
      <c r="F67" s="879">
        <v>30</v>
      </c>
    </row>
    <row r="68" spans="1:6" s="875" customFormat="1" ht="36">
      <c r="A68" s="879">
        <v>8</v>
      </c>
      <c r="B68" s="3446"/>
      <c r="C68" s="815" t="s">
        <v>629</v>
      </c>
      <c r="D68" s="815" t="s">
        <v>630</v>
      </c>
      <c r="E68" s="892">
        <v>0.2</v>
      </c>
      <c r="F68" s="879">
        <v>30</v>
      </c>
    </row>
    <row r="69" spans="1:6" s="875" customFormat="1" ht="36">
      <c r="A69" s="879">
        <v>9</v>
      </c>
      <c r="B69" s="3446"/>
      <c r="C69" s="815" t="s">
        <v>631</v>
      </c>
      <c r="D69" s="815" t="s">
        <v>632</v>
      </c>
      <c r="E69" s="892">
        <v>0.2</v>
      </c>
      <c r="F69" s="879">
        <v>30</v>
      </c>
    </row>
    <row r="70" spans="1:6" s="875" customFormat="1" ht="48">
      <c r="A70" s="879">
        <v>10</v>
      </c>
      <c r="B70" s="3446"/>
      <c r="C70" s="815" t="s">
        <v>633</v>
      </c>
      <c r="D70" s="815" t="s">
        <v>634</v>
      </c>
      <c r="E70" s="892">
        <v>0.2</v>
      </c>
      <c r="F70" s="879">
        <v>30</v>
      </c>
    </row>
    <row r="71" spans="1:6" s="875" customFormat="1" ht="48">
      <c r="A71" s="879">
        <v>11</v>
      </c>
      <c r="B71" s="3446"/>
      <c r="C71" s="815" t="s">
        <v>635</v>
      </c>
      <c r="D71" s="815" t="s">
        <v>636</v>
      </c>
      <c r="E71" s="892">
        <v>0.2</v>
      </c>
      <c r="F71" s="879">
        <v>30</v>
      </c>
    </row>
    <row r="72" spans="1:6" s="875" customFormat="1" ht="36">
      <c r="A72" s="879">
        <v>12</v>
      </c>
      <c r="B72" s="3446"/>
      <c r="C72" s="815" t="s">
        <v>637</v>
      </c>
      <c r="D72" s="815" t="s">
        <v>638</v>
      </c>
      <c r="E72" s="892">
        <v>0.5</v>
      </c>
      <c r="F72" s="879">
        <v>80</v>
      </c>
    </row>
    <row r="73" spans="1:6" s="875" customFormat="1" ht="24">
      <c r="A73" s="879">
        <v>13</v>
      </c>
      <c r="B73" s="3446"/>
      <c r="C73" s="815" t="s">
        <v>639</v>
      </c>
      <c r="D73" s="815" t="s">
        <v>640</v>
      </c>
      <c r="E73" s="892">
        <v>0.4</v>
      </c>
      <c r="F73" s="879">
        <v>60</v>
      </c>
    </row>
    <row r="74" spans="1:6" s="875" customFormat="1" ht="24">
      <c r="A74" s="879">
        <v>14</v>
      </c>
      <c r="B74" s="3446"/>
      <c r="C74" s="815" t="s">
        <v>641</v>
      </c>
      <c r="D74" s="815" t="s">
        <v>642</v>
      </c>
      <c r="E74" s="892">
        <v>0.2</v>
      </c>
      <c r="F74" s="879">
        <v>30</v>
      </c>
    </row>
    <row r="75" spans="1:6" s="875" customFormat="1" ht="24">
      <c r="A75" s="879">
        <v>15</v>
      </c>
      <c r="B75" s="3446"/>
      <c r="C75" s="815" t="s">
        <v>643</v>
      </c>
      <c r="D75" s="815" t="s">
        <v>644</v>
      </c>
      <c r="E75" s="892">
        <v>0.2</v>
      </c>
      <c r="F75" s="879">
        <v>30</v>
      </c>
    </row>
    <row r="76" spans="1:6" s="875" customFormat="1" ht="24">
      <c r="A76" s="879">
        <v>16</v>
      </c>
      <c r="B76" s="3446" t="s">
        <v>645</v>
      </c>
      <c r="C76" s="815" t="s">
        <v>646</v>
      </c>
      <c r="D76" s="815" t="s">
        <v>647</v>
      </c>
      <c r="E76" s="892">
        <v>0.5</v>
      </c>
      <c r="F76" s="879">
        <v>80</v>
      </c>
    </row>
    <row r="77" spans="1:6" s="875" customFormat="1" ht="24">
      <c r="A77" s="879">
        <v>17</v>
      </c>
      <c r="B77" s="3446"/>
      <c r="C77" s="815" t="s">
        <v>648</v>
      </c>
      <c r="D77" s="815" t="s">
        <v>649</v>
      </c>
      <c r="E77" s="892">
        <v>0.5</v>
      </c>
      <c r="F77" s="879">
        <v>80</v>
      </c>
    </row>
    <row r="78" spans="1:6" s="875" customFormat="1" ht="24">
      <c r="A78" s="879">
        <v>18</v>
      </c>
      <c r="B78" s="3446"/>
      <c r="C78" s="815" t="s">
        <v>650</v>
      </c>
      <c r="D78" s="815" t="s">
        <v>651</v>
      </c>
      <c r="E78" s="892">
        <v>0.2</v>
      </c>
      <c r="F78" s="879">
        <v>30</v>
      </c>
    </row>
    <row r="79" spans="1:6" s="875" customFormat="1" ht="24">
      <c r="A79" s="879">
        <v>19</v>
      </c>
      <c r="B79" s="3446"/>
      <c r="C79" s="815" t="s">
        <v>652</v>
      </c>
      <c r="D79" s="815" t="s">
        <v>653</v>
      </c>
      <c r="E79" s="892">
        <v>0.5</v>
      </c>
      <c r="F79" s="879">
        <v>80</v>
      </c>
    </row>
    <row r="80" spans="1:6" s="875" customFormat="1" ht="36">
      <c r="A80" s="879">
        <v>20</v>
      </c>
      <c r="B80" s="3446"/>
      <c r="C80" s="815" t="s">
        <v>654</v>
      </c>
      <c r="D80" s="815" t="s">
        <v>655</v>
      </c>
      <c r="E80" s="892">
        <v>0.2</v>
      </c>
      <c r="F80" s="879">
        <v>30</v>
      </c>
    </row>
    <row r="81" spans="1:6" s="875" customFormat="1" ht="36">
      <c r="A81" s="879">
        <v>21</v>
      </c>
      <c r="B81" s="3446"/>
      <c r="C81" s="815" t="s">
        <v>656</v>
      </c>
      <c r="D81" s="815" t="s">
        <v>657</v>
      </c>
      <c r="E81" s="892">
        <v>0.2</v>
      </c>
      <c r="F81" s="879">
        <v>30</v>
      </c>
    </row>
    <row r="82" spans="1:6" s="875" customFormat="1" ht="48">
      <c r="A82" s="879">
        <v>22</v>
      </c>
      <c r="B82" s="3446"/>
      <c r="C82" s="815" t="s">
        <v>658</v>
      </c>
      <c r="D82" s="815" t="s">
        <v>659</v>
      </c>
      <c r="E82" s="892">
        <v>0.2</v>
      </c>
      <c r="F82" s="879">
        <v>30</v>
      </c>
    </row>
    <row r="83" spans="1:6" s="875" customFormat="1" ht="48">
      <c r="A83" s="879">
        <v>23</v>
      </c>
      <c r="B83" s="3446"/>
      <c r="C83" s="815" t="s">
        <v>660</v>
      </c>
      <c r="D83" s="815" t="s">
        <v>661</v>
      </c>
      <c r="E83" s="892">
        <v>0.2</v>
      </c>
      <c r="F83" s="879">
        <v>30</v>
      </c>
    </row>
    <row r="84" spans="1:6" s="875" customFormat="1" ht="36">
      <c r="A84" s="879">
        <v>24</v>
      </c>
      <c r="B84" s="3446"/>
      <c r="C84" s="815" t="s">
        <v>662</v>
      </c>
      <c r="D84" s="815" t="s">
        <v>663</v>
      </c>
      <c r="E84" s="892">
        <v>0.2</v>
      </c>
      <c r="F84" s="879">
        <v>30</v>
      </c>
    </row>
    <row r="85" spans="1:6" s="875" customFormat="1" ht="36">
      <c r="A85" s="879">
        <v>25</v>
      </c>
      <c r="B85" s="3446"/>
      <c r="C85" s="815" t="s">
        <v>664</v>
      </c>
      <c r="D85" s="815" t="s">
        <v>665</v>
      </c>
      <c r="E85" s="892">
        <v>0.5</v>
      </c>
      <c r="F85" s="879">
        <v>80</v>
      </c>
    </row>
    <row r="86" spans="1:6" s="875" customFormat="1" ht="36">
      <c r="A86" s="879">
        <v>26</v>
      </c>
      <c r="B86" s="3446"/>
      <c r="C86" s="815" t="s">
        <v>666</v>
      </c>
      <c r="D86" s="815" t="s">
        <v>667</v>
      </c>
      <c r="E86" s="892">
        <v>0.2</v>
      </c>
      <c r="F86" s="879">
        <v>30</v>
      </c>
    </row>
    <row r="87" spans="1:6" s="875" customFormat="1" ht="36">
      <c r="A87" s="879">
        <v>27</v>
      </c>
      <c r="B87" s="3446"/>
      <c r="C87" s="815" t="s">
        <v>668</v>
      </c>
      <c r="D87" s="815" t="s">
        <v>669</v>
      </c>
      <c r="E87" s="892">
        <v>0.2</v>
      </c>
      <c r="F87" s="879">
        <v>30</v>
      </c>
    </row>
    <row r="88" spans="1:6" s="875" customFormat="1" ht="36">
      <c r="A88" s="879">
        <v>28</v>
      </c>
      <c r="B88" s="3446"/>
      <c r="C88" s="815" t="s">
        <v>670</v>
      </c>
      <c r="D88" s="815" t="s">
        <v>671</v>
      </c>
      <c r="E88" s="892">
        <v>0.2</v>
      </c>
      <c r="F88" s="879">
        <v>30</v>
      </c>
    </row>
    <row r="89" spans="1:6" s="875" customFormat="1" ht="24">
      <c r="A89" s="879">
        <v>29</v>
      </c>
      <c r="B89" s="3446"/>
      <c r="C89" s="815" t="s">
        <v>672</v>
      </c>
      <c r="D89" s="815" t="s">
        <v>673</v>
      </c>
      <c r="E89" s="892">
        <v>0.2</v>
      </c>
      <c r="F89" s="879">
        <v>30</v>
      </c>
    </row>
    <row r="90" spans="1:6" s="875" customFormat="1" ht="24">
      <c r="A90" s="879">
        <v>30</v>
      </c>
      <c r="B90" s="3446"/>
      <c r="C90" s="815" t="s">
        <v>674</v>
      </c>
      <c r="D90" s="815" t="s">
        <v>675</v>
      </c>
      <c r="E90" s="892">
        <v>0.2</v>
      </c>
      <c r="F90" s="879">
        <v>30</v>
      </c>
    </row>
    <row r="91" spans="1:6" s="875" customFormat="1" ht="36">
      <c r="A91" s="879">
        <v>31</v>
      </c>
      <c r="B91" s="3446"/>
      <c r="C91" s="815" t="s">
        <v>676</v>
      </c>
      <c r="D91" s="815" t="s">
        <v>677</v>
      </c>
      <c r="E91" s="892">
        <v>0.2</v>
      </c>
      <c r="F91" s="879">
        <v>30</v>
      </c>
    </row>
    <row r="92" spans="1:6" s="875" customFormat="1" ht="24">
      <c r="A92" s="879">
        <v>32</v>
      </c>
      <c r="B92" s="3446" t="s">
        <v>678</v>
      </c>
      <c r="C92" s="879" t="s">
        <v>679</v>
      </c>
      <c r="D92" s="815" t="s">
        <v>680</v>
      </c>
      <c r="E92" s="892">
        <v>0.2</v>
      </c>
      <c r="F92" s="879">
        <v>30</v>
      </c>
    </row>
    <row r="93" spans="1:6" s="875" customFormat="1" ht="36">
      <c r="A93" s="879">
        <v>33</v>
      </c>
      <c r="B93" s="3446"/>
      <c r="C93" s="879" t="s">
        <v>681</v>
      </c>
      <c r="D93" s="815" t="s">
        <v>682</v>
      </c>
      <c r="E93" s="892">
        <v>0.2</v>
      </c>
      <c r="F93" s="879">
        <v>30</v>
      </c>
    </row>
    <row r="94" spans="1:6" s="875" customFormat="1" ht="48">
      <c r="A94" s="879">
        <v>34</v>
      </c>
      <c r="B94" s="3446"/>
      <c r="C94" s="879" t="s">
        <v>683</v>
      </c>
      <c r="D94" s="815" t="s">
        <v>684</v>
      </c>
      <c r="E94" s="892">
        <v>0.2</v>
      </c>
      <c r="F94" s="879">
        <v>30</v>
      </c>
    </row>
    <row r="95" spans="1:6" s="875" customFormat="1" ht="36">
      <c r="A95" s="879">
        <v>35</v>
      </c>
      <c r="B95" s="3446"/>
      <c r="C95" s="879" t="s">
        <v>685</v>
      </c>
      <c r="D95" s="815" t="s">
        <v>686</v>
      </c>
      <c r="E95" s="892">
        <v>0.2</v>
      </c>
      <c r="F95" s="879">
        <v>30</v>
      </c>
    </row>
    <row r="96" spans="1:6" s="875" customFormat="1" ht="48">
      <c r="A96" s="879">
        <v>36</v>
      </c>
      <c r="B96" s="3446"/>
      <c r="C96" s="815" t="s">
        <v>687</v>
      </c>
      <c r="D96" s="815" t="s">
        <v>688</v>
      </c>
      <c r="E96" s="892">
        <v>0.2</v>
      </c>
      <c r="F96" s="879">
        <v>30</v>
      </c>
    </row>
    <row r="97" spans="1:6" s="875" customFormat="1" ht="36">
      <c r="A97" s="879">
        <v>37</v>
      </c>
      <c r="B97" s="3446"/>
      <c r="C97" s="879" t="s">
        <v>689</v>
      </c>
      <c r="D97" s="815" t="s">
        <v>690</v>
      </c>
      <c r="E97" s="892">
        <v>0.2</v>
      </c>
      <c r="F97" s="879">
        <v>30</v>
      </c>
    </row>
    <row r="98" spans="1:6" s="875" customFormat="1" ht="36">
      <c r="A98" s="879">
        <v>38</v>
      </c>
      <c r="B98" s="3446"/>
      <c r="C98" s="879" t="s">
        <v>691</v>
      </c>
      <c r="D98" s="815" t="s">
        <v>692</v>
      </c>
      <c r="E98" s="892">
        <v>0.2</v>
      </c>
      <c r="F98" s="879">
        <v>30</v>
      </c>
    </row>
    <row r="99" spans="1:6" s="875" customFormat="1" ht="36">
      <c r="A99" s="879">
        <v>39</v>
      </c>
      <c r="B99" s="3446" t="s">
        <v>693</v>
      </c>
      <c r="C99" s="879" t="s">
        <v>694</v>
      </c>
      <c r="D99" s="815" t="s">
        <v>695</v>
      </c>
      <c r="E99" s="892">
        <v>0.3</v>
      </c>
      <c r="F99" s="879">
        <v>50</v>
      </c>
    </row>
    <row r="100" spans="1:6" s="875" customFormat="1" ht="24">
      <c r="A100" s="879">
        <v>40</v>
      </c>
      <c r="B100" s="3446"/>
      <c r="C100" s="879" t="s">
        <v>696</v>
      </c>
      <c r="D100" s="815" t="s">
        <v>697</v>
      </c>
      <c r="E100" s="892">
        <v>0.2</v>
      </c>
      <c r="F100" s="879">
        <v>30</v>
      </c>
    </row>
    <row r="101" spans="1:6" s="875" customFormat="1" ht="36">
      <c r="A101" s="879">
        <v>41</v>
      </c>
      <c r="B101" s="3446"/>
      <c r="C101" s="879" t="s">
        <v>698</v>
      </c>
      <c r="D101" s="815" t="s">
        <v>695</v>
      </c>
      <c r="E101" s="892">
        <v>0.2</v>
      </c>
      <c r="F101" s="879">
        <v>30</v>
      </c>
    </row>
    <row r="102" spans="1:6" s="875" customFormat="1" ht="48">
      <c r="A102" s="879">
        <v>42</v>
      </c>
      <c r="B102" s="879" t="s">
        <v>699</v>
      </c>
      <c r="C102" s="815" t="s">
        <v>700</v>
      </c>
      <c r="D102" s="815" t="s">
        <v>701</v>
      </c>
      <c r="E102" s="892">
        <v>0.2</v>
      </c>
      <c r="F102" s="879">
        <v>30</v>
      </c>
    </row>
    <row r="103" spans="1:6" s="875" customFormat="1" ht="24">
      <c r="A103" s="879">
        <v>43</v>
      </c>
      <c r="B103" s="879" t="s">
        <v>702</v>
      </c>
      <c r="C103" s="879" t="s">
        <v>703</v>
      </c>
      <c r="D103" s="815" t="s">
        <v>704</v>
      </c>
      <c r="E103" s="892">
        <v>0.2</v>
      </c>
      <c r="F103" s="879">
        <v>30</v>
      </c>
    </row>
    <row r="104" spans="1:6" s="875" customFormat="1" ht="36">
      <c r="A104" s="879">
        <v>44</v>
      </c>
      <c r="B104" s="879" t="s">
        <v>705</v>
      </c>
      <c r="C104" s="879" t="s">
        <v>706</v>
      </c>
      <c r="D104" s="815" t="s">
        <v>707</v>
      </c>
      <c r="E104" s="892">
        <v>0.2</v>
      </c>
      <c r="F104" s="879">
        <v>30</v>
      </c>
    </row>
    <row r="105" spans="1:6" s="875" customFormat="1" ht="36">
      <c r="A105" s="879">
        <v>45</v>
      </c>
      <c r="B105" s="3446" t="s">
        <v>708</v>
      </c>
      <c r="C105" s="879" t="s">
        <v>709</v>
      </c>
      <c r="D105" s="815" t="s">
        <v>710</v>
      </c>
      <c r="E105" s="892">
        <v>0.2</v>
      </c>
      <c r="F105" s="879">
        <v>30</v>
      </c>
    </row>
    <row r="106" spans="1:6" s="875" customFormat="1" ht="36">
      <c r="A106" s="879">
        <v>46</v>
      </c>
      <c r="B106" s="3446"/>
      <c r="C106" s="879" t="s">
        <v>711</v>
      </c>
      <c r="D106" s="815" t="s">
        <v>712</v>
      </c>
      <c r="E106" s="892">
        <v>0.2</v>
      </c>
      <c r="F106" s="879">
        <v>30</v>
      </c>
    </row>
    <row r="107" spans="1:6" s="875" customFormat="1" ht="36">
      <c r="A107" s="879">
        <v>47</v>
      </c>
      <c r="B107" s="3446" t="s">
        <v>713</v>
      </c>
      <c r="C107" s="879" t="s">
        <v>714</v>
      </c>
      <c r="D107" s="815" t="s">
        <v>715</v>
      </c>
      <c r="E107" s="892">
        <v>0.3</v>
      </c>
      <c r="F107" s="879">
        <v>50</v>
      </c>
    </row>
    <row r="108" spans="1:6" s="875" customFormat="1" ht="36">
      <c r="A108" s="879">
        <v>48</v>
      </c>
      <c r="B108" s="3446"/>
      <c r="C108" s="879" t="s">
        <v>716</v>
      </c>
      <c r="D108" s="815" t="s">
        <v>717</v>
      </c>
      <c r="E108" s="892">
        <v>0.2</v>
      </c>
      <c r="F108" s="879">
        <v>30</v>
      </c>
    </row>
    <row r="109" spans="1:6" s="875" customFormat="1" ht="36">
      <c r="A109" s="879">
        <v>49</v>
      </c>
      <c r="B109" s="879" t="s">
        <v>718</v>
      </c>
      <c r="C109" s="879" t="s">
        <v>719</v>
      </c>
      <c r="D109" s="815" t="s">
        <v>720</v>
      </c>
      <c r="E109" s="892">
        <v>0.2</v>
      </c>
      <c r="F109" s="879">
        <v>30</v>
      </c>
    </row>
    <row r="110" spans="1:6" s="875" customFormat="1" ht="36">
      <c r="A110" s="879">
        <v>50</v>
      </c>
      <c r="B110" s="879" t="s">
        <v>721</v>
      </c>
      <c r="C110" s="879" t="s">
        <v>722</v>
      </c>
      <c r="D110" s="815" t="s">
        <v>723</v>
      </c>
      <c r="E110" s="892">
        <v>0.2</v>
      </c>
      <c r="F110" s="879">
        <v>30</v>
      </c>
    </row>
    <row r="111" spans="1:6" s="875" customFormat="1" ht="36">
      <c r="A111" s="879">
        <v>51</v>
      </c>
      <c r="B111" s="3446" t="s">
        <v>724</v>
      </c>
      <c r="C111" s="879" t="s">
        <v>725</v>
      </c>
      <c r="D111" s="815" t="s">
        <v>726</v>
      </c>
      <c r="E111" s="892">
        <v>0.2</v>
      </c>
      <c r="F111" s="879">
        <v>30</v>
      </c>
    </row>
    <row r="112" spans="1:6" s="875" customFormat="1" ht="24">
      <c r="A112" s="879">
        <v>52</v>
      </c>
      <c r="B112" s="3446"/>
      <c r="C112" s="879" t="s">
        <v>727</v>
      </c>
      <c r="D112" s="815" t="s">
        <v>728</v>
      </c>
      <c r="E112" s="892">
        <v>0.2</v>
      </c>
      <c r="F112" s="879">
        <v>30</v>
      </c>
    </row>
    <row r="113" spans="1:6" s="875" customFormat="1" ht="24">
      <c r="A113" s="879">
        <v>53</v>
      </c>
      <c r="B113" s="3446"/>
      <c r="C113" s="879" t="s">
        <v>729</v>
      </c>
      <c r="D113" s="815" t="s">
        <v>730</v>
      </c>
      <c r="E113" s="892">
        <v>0.2</v>
      </c>
      <c r="F113" s="879">
        <v>30</v>
      </c>
    </row>
    <row r="114" spans="1:6" ht="36">
      <c r="A114" s="879">
        <v>54</v>
      </c>
      <c r="B114" s="879" t="s">
        <v>731</v>
      </c>
      <c r="C114" s="879" t="s">
        <v>732</v>
      </c>
      <c r="D114" s="815" t="s">
        <v>733</v>
      </c>
      <c r="E114" s="892">
        <v>0.2</v>
      </c>
      <c r="F114" s="879">
        <v>30</v>
      </c>
    </row>
    <row r="115" spans="1:6" ht="24">
      <c r="A115" s="879">
        <v>55</v>
      </c>
      <c r="B115" s="879" t="s">
        <v>734</v>
      </c>
      <c r="C115" s="879" t="s">
        <v>735</v>
      </c>
      <c r="D115" s="815" t="s">
        <v>736</v>
      </c>
      <c r="E115" s="892">
        <v>0.2</v>
      </c>
      <c r="F115" s="879">
        <v>30</v>
      </c>
    </row>
    <row r="116" spans="1:6" ht="24">
      <c r="A116" s="879">
        <v>56</v>
      </c>
      <c r="B116" s="3446" t="s">
        <v>737</v>
      </c>
      <c r="C116" s="879" t="s">
        <v>738</v>
      </c>
      <c r="D116" s="815" t="s">
        <v>739</v>
      </c>
      <c r="E116" s="892">
        <v>0.2</v>
      </c>
      <c r="F116" s="879">
        <v>30</v>
      </c>
    </row>
    <row r="117" spans="1:6" ht="36">
      <c r="A117" s="879">
        <v>57</v>
      </c>
      <c r="B117" s="3446"/>
      <c r="C117" s="879" t="s">
        <v>740</v>
      </c>
      <c r="D117" s="815" t="s">
        <v>741</v>
      </c>
      <c r="E117" s="892">
        <v>0.2</v>
      </c>
      <c r="F117" s="879">
        <v>30</v>
      </c>
    </row>
    <row r="118" spans="1:6" ht="36">
      <c r="A118" s="879">
        <v>58</v>
      </c>
      <c r="B118" s="879" t="s">
        <v>742</v>
      </c>
      <c r="C118" s="879" t="s">
        <v>743</v>
      </c>
      <c r="D118" s="815" t="s">
        <v>744</v>
      </c>
      <c r="E118" s="892">
        <v>0.2</v>
      </c>
      <c r="F118" s="879">
        <v>30</v>
      </c>
    </row>
    <row r="119" spans="1:6" ht="13.5">
      <c r="A119" s="879"/>
      <c r="B119" s="879"/>
      <c r="C119" s="879" t="s">
        <v>745</v>
      </c>
      <c r="D119" s="879"/>
      <c r="E119" s="892" t="s">
        <v>555</v>
      </c>
      <c r="F119" s="879"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2"/>
    <col min="2" max="16384" width="9" style="895"/>
  </cols>
  <sheetData>
    <row r="1" spans="1:14" ht="14.25">
      <c r="A1" s="893" t="s">
        <v>747</v>
      </c>
      <c r="B1" s="894"/>
      <c r="C1" s="894"/>
      <c r="D1" s="894"/>
      <c r="E1" s="894"/>
      <c r="F1" s="894"/>
      <c r="G1" s="894"/>
      <c r="H1" s="894"/>
      <c r="I1" s="894"/>
      <c r="J1" s="894"/>
      <c r="K1" s="894"/>
      <c r="L1" s="894"/>
      <c r="M1" s="894"/>
      <c r="N1" s="894"/>
    </row>
    <row r="2" spans="1:14">
      <c r="A2" s="896" t="s">
        <v>746</v>
      </c>
      <c r="B2" s="897" t="s">
        <v>157</v>
      </c>
      <c r="C2" s="897" t="s">
        <v>158</v>
      </c>
      <c r="D2" s="897" t="s">
        <v>159</v>
      </c>
      <c r="E2" s="897" t="s">
        <v>160</v>
      </c>
      <c r="F2" s="897" t="s">
        <v>161</v>
      </c>
      <c r="G2" s="897" t="s">
        <v>162</v>
      </c>
      <c r="H2" s="898" t="s">
        <v>163</v>
      </c>
      <c r="I2" s="898" t="s">
        <v>164</v>
      </c>
      <c r="J2" s="899" t="s">
        <v>165</v>
      </c>
      <c r="K2" s="899" t="s">
        <v>166</v>
      </c>
      <c r="L2" s="899" t="s">
        <v>167</v>
      </c>
      <c r="M2" s="899" t="s">
        <v>168</v>
      </c>
    </row>
    <row r="3" spans="1:14">
      <c r="A3" s="896">
        <v>0.1</v>
      </c>
      <c r="B3" s="903">
        <v>15.052</v>
      </c>
      <c r="C3" s="903">
        <v>15.052</v>
      </c>
      <c r="D3" s="903">
        <v>14.263</v>
      </c>
      <c r="E3" s="903">
        <v>14.263</v>
      </c>
      <c r="F3" s="903">
        <v>14.263</v>
      </c>
      <c r="G3" s="903">
        <v>14.263</v>
      </c>
      <c r="H3" s="903">
        <v>14.263</v>
      </c>
      <c r="I3" s="903">
        <v>14.097</v>
      </c>
      <c r="J3" s="903">
        <v>14.097</v>
      </c>
      <c r="K3" s="903">
        <v>14.097</v>
      </c>
      <c r="L3" s="903">
        <v>14.097</v>
      </c>
      <c r="M3" s="903">
        <v>14.097</v>
      </c>
      <c r="N3" s="904"/>
    </row>
    <row r="4" spans="1:14">
      <c r="A4" s="896">
        <v>0.2</v>
      </c>
      <c r="B4" s="903">
        <v>7.5259999999999998</v>
      </c>
      <c r="C4" s="903">
        <v>7.5259999999999998</v>
      </c>
      <c r="D4" s="903">
        <v>7.1315</v>
      </c>
      <c r="E4" s="903">
        <v>7.1315</v>
      </c>
      <c r="F4" s="903">
        <v>7.1315</v>
      </c>
      <c r="G4" s="903">
        <v>7.1315</v>
      </c>
      <c r="H4" s="903">
        <v>7.1315</v>
      </c>
      <c r="I4" s="903">
        <v>7.0484999999999998</v>
      </c>
      <c r="J4" s="903">
        <v>7.0484999999999998</v>
      </c>
      <c r="K4" s="903">
        <v>7.0484999999999998</v>
      </c>
      <c r="L4" s="903">
        <v>7.0484999999999998</v>
      </c>
      <c r="M4" s="903">
        <v>7.0484999999999998</v>
      </c>
    </row>
    <row r="5" spans="1:14">
      <c r="A5" s="896">
        <v>0.3</v>
      </c>
      <c r="B5" s="903">
        <v>5.0172999999999996</v>
      </c>
      <c r="C5" s="903">
        <v>5.0172999999999996</v>
      </c>
      <c r="D5" s="903">
        <v>4.7542999999999997</v>
      </c>
      <c r="E5" s="903">
        <v>4.7542999999999997</v>
      </c>
      <c r="F5" s="903">
        <v>4.7542999999999997</v>
      </c>
      <c r="G5" s="903">
        <v>4.7542999999999997</v>
      </c>
      <c r="H5" s="903">
        <v>4.7542999999999997</v>
      </c>
      <c r="I5" s="903">
        <v>4.6989999999999998</v>
      </c>
      <c r="J5" s="903">
        <v>4.6989999999999998</v>
      </c>
      <c r="K5" s="903">
        <v>4.6989999999999998</v>
      </c>
      <c r="L5" s="903">
        <v>4.6989999999999998</v>
      </c>
      <c r="M5" s="903">
        <v>4.6989999999999998</v>
      </c>
    </row>
    <row r="6" spans="1:14">
      <c r="A6" s="896">
        <v>0.4</v>
      </c>
      <c r="B6" s="903">
        <v>3.7629999999999999</v>
      </c>
      <c r="C6" s="903">
        <v>3.7629999999999999</v>
      </c>
      <c r="D6" s="903">
        <v>3.5657999999999999</v>
      </c>
      <c r="E6" s="903">
        <v>3.5657999999999999</v>
      </c>
      <c r="F6" s="903">
        <v>3.5657999999999999</v>
      </c>
      <c r="G6" s="903">
        <v>3.5657999999999999</v>
      </c>
      <c r="H6" s="903">
        <v>3.5657999999999999</v>
      </c>
      <c r="I6" s="903">
        <v>3.5243000000000002</v>
      </c>
      <c r="J6" s="903">
        <v>3.5243000000000002</v>
      </c>
      <c r="K6" s="903">
        <v>3.5243000000000002</v>
      </c>
      <c r="L6" s="903">
        <v>3.5243000000000002</v>
      </c>
      <c r="M6" s="903">
        <v>3.5243000000000002</v>
      </c>
    </row>
    <row r="7" spans="1:14">
      <c r="A7" s="896">
        <v>0.5</v>
      </c>
      <c r="B7" s="903">
        <v>3.0104000000000002</v>
      </c>
      <c r="C7" s="903">
        <v>3.0104000000000002</v>
      </c>
      <c r="D7" s="903">
        <v>2.8525999999999998</v>
      </c>
      <c r="E7" s="903">
        <v>2.8525999999999998</v>
      </c>
      <c r="F7" s="903">
        <v>2.8525999999999998</v>
      </c>
      <c r="G7" s="903">
        <v>2.8525999999999998</v>
      </c>
      <c r="H7" s="903">
        <v>2.8525999999999998</v>
      </c>
      <c r="I7" s="903">
        <v>2.8193999999999999</v>
      </c>
      <c r="J7" s="903">
        <v>2.8193999999999999</v>
      </c>
      <c r="K7" s="903">
        <v>2.8193999999999999</v>
      </c>
      <c r="L7" s="903">
        <v>2.8193999999999999</v>
      </c>
      <c r="M7" s="903">
        <v>2.8193999999999999</v>
      </c>
    </row>
    <row r="8" spans="1:14">
      <c r="A8" s="896">
        <v>0.6</v>
      </c>
      <c r="B8" s="903">
        <v>2.5087000000000002</v>
      </c>
      <c r="C8" s="903">
        <v>2.5087000000000002</v>
      </c>
      <c r="D8" s="903">
        <v>2.3772000000000002</v>
      </c>
      <c r="E8" s="903">
        <v>2.3772000000000002</v>
      </c>
      <c r="F8" s="903">
        <v>2.3772000000000002</v>
      </c>
      <c r="G8" s="903">
        <v>2.3772000000000002</v>
      </c>
      <c r="H8" s="903">
        <v>2.3772000000000002</v>
      </c>
      <c r="I8" s="903">
        <v>2.3494999999999999</v>
      </c>
      <c r="J8" s="903">
        <v>2.3494999999999999</v>
      </c>
      <c r="K8" s="903">
        <v>2.3494999999999999</v>
      </c>
      <c r="L8" s="903">
        <v>2.3494999999999999</v>
      </c>
      <c r="M8" s="903">
        <v>2.3494999999999999</v>
      </c>
    </row>
    <row r="9" spans="1:14">
      <c r="A9" s="896">
        <v>0.7</v>
      </c>
      <c r="B9" s="903">
        <v>2.1503000000000001</v>
      </c>
      <c r="C9" s="903">
        <v>2.1503000000000001</v>
      </c>
      <c r="D9" s="903">
        <v>2.0375999999999999</v>
      </c>
      <c r="E9" s="903">
        <v>2.0375999999999999</v>
      </c>
      <c r="F9" s="903">
        <v>2.0375999999999999</v>
      </c>
      <c r="G9" s="903">
        <v>2.0375999999999999</v>
      </c>
      <c r="H9" s="903">
        <v>2.0375999999999999</v>
      </c>
      <c r="I9" s="903">
        <v>2.0139</v>
      </c>
      <c r="J9" s="903">
        <v>2.0139</v>
      </c>
      <c r="K9" s="903">
        <v>2.0139</v>
      </c>
      <c r="L9" s="903">
        <v>2.0139</v>
      </c>
      <c r="M9" s="903">
        <v>2.0139</v>
      </c>
    </row>
    <row r="10" spans="1:14">
      <c r="A10" s="896">
        <v>0.8</v>
      </c>
      <c r="B10" s="903">
        <v>1.8815</v>
      </c>
      <c r="C10" s="903">
        <v>1.8815</v>
      </c>
      <c r="D10" s="903">
        <v>1.7828999999999999</v>
      </c>
      <c r="E10" s="903">
        <v>1.7828999999999999</v>
      </c>
      <c r="F10" s="903">
        <v>1.7828999999999999</v>
      </c>
      <c r="G10" s="903">
        <v>1.7828999999999999</v>
      </c>
      <c r="H10" s="903">
        <v>1.7828999999999999</v>
      </c>
      <c r="I10" s="903">
        <v>1.7621</v>
      </c>
      <c r="J10" s="903">
        <v>1.7621</v>
      </c>
      <c r="K10" s="903">
        <v>1.7621</v>
      </c>
      <c r="L10" s="903">
        <v>1.7621</v>
      </c>
      <c r="M10" s="903">
        <v>1.7621</v>
      </c>
    </row>
    <row r="11" spans="1:14">
      <c r="A11" s="896">
        <v>0.9</v>
      </c>
      <c r="B11" s="903">
        <v>1.6724000000000001</v>
      </c>
      <c r="C11" s="903">
        <v>1.6724000000000001</v>
      </c>
      <c r="D11" s="903">
        <v>1.5848</v>
      </c>
      <c r="E11" s="903">
        <v>1.5848</v>
      </c>
      <c r="F11" s="903">
        <v>1.5848</v>
      </c>
      <c r="G11" s="903">
        <v>1.5848</v>
      </c>
      <c r="H11" s="903">
        <v>1.5848</v>
      </c>
      <c r="I11" s="903">
        <v>1.5663</v>
      </c>
      <c r="J11" s="903">
        <v>1.5663</v>
      </c>
      <c r="K11" s="903">
        <v>1.5663</v>
      </c>
      <c r="L11" s="903">
        <v>1.5663</v>
      </c>
      <c r="M11" s="903">
        <v>1.5663</v>
      </c>
    </row>
    <row r="12" spans="1:14">
      <c r="A12" s="896">
        <v>1</v>
      </c>
      <c r="B12" s="903">
        <v>1.5052000000000001</v>
      </c>
      <c r="C12" s="903">
        <v>1.5052000000000001</v>
      </c>
      <c r="D12" s="903">
        <v>1.4262999999999999</v>
      </c>
      <c r="E12" s="903">
        <v>1.4262999999999999</v>
      </c>
      <c r="F12" s="903">
        <v>1.4262999999999999</v>
      </c>
      <c r="G12" s="903">
        <v>1.4262999999999999</v>
      </c>
      <c r="H12" s="903">
        <v>1.4262999999999999</v>
      </c>
      <c r="I12" s="903">
        <v>1.4097</v>
      </c>
      <c r="J12" s="903">
        <v>1.4097</v>
      </c>
      <c r="K12" s="903">
        <v>1.4097</v>
      </c>
      <c r="L12" s="903">
        <v>1.4097</v>
      </c>
      <c r="M12" s="903">
        <v>1.4097</v>
      </c>
    </row>
    <row r="13" spans="1:14">
      <c r="A13" s="896">
        <v>1.1000000000000001</v>
      </c>
      <c r="B13" s="903">
        <v>1.4509000000000001</v>
      </c>
      <c r="C13" s="903">
        <v>1.4509000000000001</v>
      </c>
      <c r="D13" s="903">
        <v>1.3697999999999999</v>
      </c>
      <c r="E13" s="903">
        <v>1.3697999999999999</v>
      </c>
      <c r="F13" s="903">
        <v>1.3697999999999999</v>
      </c>
      <c r="G13" s="903">
        <v>1.3697999999999999</v>
      </c>
      <c r="H13" s="903">
        <v>1.3697999999999999</v>
      </c>
      <c r="I13" s="903">
        <v>1.343</v>
      </c>
      <c r="J13" s="903">
        <v>1.343</v>
      </c>
      <c r="K13" s="903">
        <v>1.343</v>
      </c>
      <c r="L13" s="903">
        <v>1.343</v>
      </c>
      <c r="M13" s="903">
        <v>1.343</v>
      </c>
    </row>
    <row r="14" spans="1:14">
      <c r="A14" s="896">
        <v>1.2</v>
      </c>
      <c r="B14" s="903">
        <v>1.4035</v>
      </c>
      <c r="C14" s="903">
        <v>1.4035</v>
      </c>
      <c r="D14" s="903">
        <v>1.3205</v>
      </c>
      <c r="E14" s="903">
        <v>1.3205</v>
      </c>
      <c r="F14" s="903">
        <v>1.3205</v>
      </c>
      <c r="G14" s="903">
        <v>1.3205</v>
      </c>
      <c r="H14" s="903">
        <v>1.3205</v>
      </c>
      <c r="I14" s="903">
        <v>1.2845</v>
      </c>
      <c r="J14" s="903">
        <v>1.2845</v>
      </c>
      <c r="K14" s="903">
        <v>1.2845</v>
      </c>
      <c r="L14" s="903">
        <v>1.2845</v>
      </c>
      <c r="M14" s="903">
        <v>1.2845</v>
      </c>
    </row>
    <row r="15" spans="1:14">
      <c r="A15" s="896">
        <v>1.3</v>
      </c>
      <c r="B15" s="903">
        <v>1.3622000000000001</v>
      </c>
      <c r="C15" s="903">
        <v>1.3622000000000001</v>
      </c>
      <c r="D15" s="903">
        <v>1.2775000000000001</v>
      </c>
      <c r="E15" s="903">
        <v>1.2775000000000001</v>
      </c>
      <c r="F15" s="903">
        <v>1.2775000000000001</v>
      </c>
      <c r="G15" s="903">
        <v>1.2775000000000001</v>
      </c>
      <c r="H15" s="903">
        <v>1.2775000000000001</v>
      </c>
      <c r="I15" s="903">
        <v>1.2332000000000001</v>
      </c>
      <c r="J15" s="903">
        <v>1.2332000000000001</v>
      </c>
      <c r="K15" s="903">
        <v>1.2332000000000001</v>
      </c>
      <c r="L15" s="903">
        <v>1.2332000000000001</v>
      </c>
      <c r="M15" s="903">
        <v>1.2332000000000001</v>
      </c>
    </row>
    <row r="16" spans="1:14">
      <c r="A16" s="896">
        <v>1.4</v>
      </c>
      <c r="B16" s="903">
        <v>1.3262</v>
      </c>
      <c r="C16" s="903">
        <v>1.3262</v>
      </c>
      <c r="D16" s="903">
        <v>1.2402</v>
      </c>
      <c r="E16" s="903">
        <v>1.2402</v>
      </c>
      <c r="F16" s="903">
        <v>1.2402</v>
      </c>
      <c r="G16" s="903">
        <v>1.2402</v>
      </c>
      <c r="H16" s="903">
        <v>1.2402</v>
      </c>
      <c r="I16" s="903">
        <v>1.1881999999999999</v>
      </c>
      <c r="J16" s="903">
        <v>1.1881999999999999</v>
      </c>
      <c r="K16" s="903">
        <v>1.1881999999999999</v>
      </c>
      <c r="L16" s="903">
        <v>1.1881999999999999</v>
      </c>
      <c r="M16" s="903">
        <v>1.1881999999999999</v>
      </c>
      <c r="N16" s="904"/>
    </row>
    <row r="17" spans="1:14">
      <c r="A17" s="896">
        <v>1.5</v>
      </c>
      <c r="B17" s="903">
        <v>1.2948</v>
      </c>
      <c r="C17" s="903">
        <v>1.2948</v>
      </c>
      <c r="D17" s="903">
        <v>1.2075</v>
      </c>
      <c r="E17" s="903">
        <v>1.2075</v>
      </c>
      <c r="F17" s="903">
        <v>1.2075</v>
      </c>
      <c r="G17" s="903">
        <v>1.2075</v>
      </c>
      <c r="H17" s="903">
        <v>1.2075</v>
      </c>
      <c r="I17" s="903">
        <v>1.1486000000000001</v>
      </c>
      <c r="J17" s="903">
        <v>1.1486000000000001</v>
      </c>
      <c r="K17" s="903">
        <v>1.1486000000000001</v>
      </c>
      <c r="L17" s="903">
        <v>1.1486000000000001</v>
      </c>
      <c r="M17" s="903">
        <v>1.1486000000000001</v>
      </c>
      <c r="N17" s="904"/>
    </row>
    <row r="18" spans="1:14">
      <c r="A18" s="896">
        <v>1.6</v>
      </c>
      <c r="B18" s="903">
        <v>1.2673000000000001</v>
      </c>
      <c r="C18" s="903">
        <v>1.2673000000000001</v>
      </c>
      <c r="D18" s="903">
        <v>1.1789000000000001</v>
      </c>
      <c r="E18" s="903">
        <v>1.1789000000000001</v>
      </c>
      <c r="F18" s="903">
        <v>1.1789000000000001</v>
      </c>
      <c r="G18" s="903">
        <v>1.1789000000000001</v>
      </c>
      <c r="H18" s="903">
        <v>1.1789000000000001</v>
      </c>
      <c r="I18" s="903">
        <v>1.1134999999999999</v>
      </c>
      <c r="J18" s="903">
        <v>1.1134999999999999</v>
      </c>
      <c r="K18" s="903">
        <v>1.1134999999999999</v>
      </c>
      <c r="L18" s="903">
        <v>1.1134999999999999</v>
      </c>
      <c r="M18" s="903">
        <v>1.1134999999999999</v>
      </c>
    </row>
    <row r="19" spans="1:14">
      <c r="A19" s="896">
        <v>1.7</v>
      </c>
      <c r="B19" s="903">
        <v>1.2428999999999999</v>
      </c>
      <c r="C19" s="903">
        <v>1.2428999999999999</v>
      </c>
      <c r="D19" s="903">
        <v>1.1534</v>
      </c>
      <c r="E19" s="903">
        <v>1.1534</v>
      </c>
      <c r="F19" s="903">
        <v>1.1534</v>
      </c>
      <c r="G19" s="903">
        <v>1.1534</v>
      </c>
      <c r="H19" s="903">
        <v>1.1534</v>
      </c>
      <c r="I19" s="903">
        <v>1.0820000000000001</v>
      </c>
      <c r="J19" s="903">
        <v>1.0820000000000001</v>
      </c>
      <c r="K19" s="903">
        <v>1.0820000000000001</v>
      </c>
      <c r="L19" s="903">
        <v>1.0820000000000001</v>
      </c>
      <c r="M19" s="903">
        <v>1.0820000000000001</v>
      </c>
    </row>
    <row r="20" spans="1:14">
      <c r="A20" s="896">
        <v>1.8</v>
      </c>
      <c r="B20" s="903">
        <v>1.2206999999999999</v>
      </c>
      <c r="C20" s="903">
        <v>1.2206999999999999</v>
      </c>
      <c r="D20" s="903">
        <v>1.1304000000000001</v>
      </c>
      <c r="E20" s="903">
        <v>1.1304000000000001</v>
      </c>
      <c r="F20" s="903">
        <v>1.1304000000000001</v>
      </c>
      <c r="G20" s="903">
        <v>1.1304000000000001</v>
      </c>
      <c r="H20" s="903">
        <v>1.1304000000000001</v>
      </c>
      <c r="I20" s="903">
        <v>1.0531999999999999</v>
      </c>
      <c r="J20" s="903">
        <v>1.0531999999999999</v>
      </c>
      <c r="K20" s="903">
        <v>1.0531999999999999</v>
      </c>
      <c r="L20" s="903">
        <v>1.0531999999999999</v>
      </c>
      <c r="M20" s="903">
        <v>1.0531999999999999</v>
      </c>
    </row>
    <row r="21" spans="1:14">
      <c r="A21" s="896">
        <v>1.9</v>
      </c>
      <c r="B21" s="903">
        <v>1.2</v>
      </c>
      <c r="C21" s="903">
        <v>1.2</v>
      </c>
      <c r="D21" s="903">
        <v>1.1089</v>
      </c>
      <c r="E21" s="903">
        <v>1.1089</v>
      </c>
      <c r="F21" s="903">
        <v>1.1089</v>
      </c>
      <c r="G21" s="903">
        <v>1.1089</v>
      </c>
      <c r="H21" s="903">
        <v>1.1089</v>
      </c>
      <c r="I21" s="903">
        <v>1.0261</v>
      </c>
      <c r="J21" s="903">
        <v>1.0261</v>
      </c>
      <c r="K21" s="903">
        <v>1.0261</v>
      </c>
      <c r="L21" s="903">
        <v>1.0261</v>
      </c>
      <c r="M21" s="903">
        <v>1.0261</v>
      </c>
    </row>
    <row r="22" spans="1:14">
      <c r="A22" s="896">
        <v>2</v>
      </c>
      <c r="B22" s="903">
        <v>1.1800999999999999</v>
      </c>
      <c r="C22" s="903">
        <v>1.1800999999999999</v>
      </c>
      <c r="D22" s="903">
        <v>1.0883</v>
      </c>
      <c r="E22" s="903">
        <v>1.0883</v>
      </c>
      <c r="F22" s="903">
        <v>1.0883</v>
      </c>
      <c r="G22" s="903">
        <v>1.0883</v>
      </c>
      <c r="H22" s="903">
        <v>1.0883</v>
      </c>
      <c r="I22" s="903">
        <v>1</v>
      </c>
      <c r="J22" s="903">
        <v>1</v>
      </c>
      <c r="K22" s="903">
        <v>1</v>
      </c>
      <c r="L22" s="903">
        <v>1</v>
      </c>
      <c r="M22" s="903">
        <v>1</v>
      </c>
    </row>
    <row r="23" spans="1:14">
      <c r="A23" s="911">
        <v>2.1</v>
      </c>
      <c r="B23" s="903">
        <v>1.1616</v>
      </c>
      <c r="C23" s="903">
        <v>1.1616</v>
      </c>
      <c r="D23" s="903">
        <v>1.0685</v>
      </c>
      <c r="E23" s="903">
        <v>1.0685</v>
      </c>
      <c r="F23" s="903">
        <v>1.0685</v>
      </c>
      <c r="G23" s="903">
        <v>1.0685</v>
      </c>
      <c r="H23" s="903">
        <v>1.0685</v>
      </c>
      <c r="I23" s="903">
        <v>0.97550000000000003</v>
      </c>
      <c r="J23" s="903">
        <v>0.97550000000000003</v>
      </c>
      <c r="K23" s="903">
        <v>0.97550000000000003</v>
      </c>
      <c r="L23" s="903">
        <v>0.97550000000000003</v>
      </c>
      <c r="M23" s="903">
        <v>0.97550000000000003</v>
      </c>
    </row>
    <row r="24" spans="1:14">
      <c r="A24" s="911">
        <v>2.2000000000000002</v>
      </c>
      <c r="B24" s="903">
        <v>1.1440999999999999</v>
      </c>
      <c r="C24" s="903">
        <v>1.1440999999999999</v>
      </c>
      <c r="D24" s="903">
        <v>1.0497000000000001</v>
      </c>
      <c r="E24" s="903">
        <v>1.0497000000000001</v>
      </c>
      <c r="F24" s="903">
        <v>1.0497000000000001</v>
      </c>
      <c r="G24" s="903">
        <v>1.0497000000000001</v>
      </c>
      <c r="H24" s="903">
        <v>1.0497000000000001</v>
      </c>
      <c r="I24" s="903">
        <v>0.95230000000000004</v>
      </c>
      <c r="J24" s="903">
        <v>0.95230000000000004</v>
      </c>
      <c r="K24" s="903">
        <v>0.95230000000000004</v>
      </c>
      <c r="L24" s="903">
        <v>0.95230000000000004</v>
      </c>
      <c r="M24" s="903">
        <v>0.95230000000000004</v>
      </c>
    </row>
    <row r="25" spans="1:14">
      <c r="A25" s="911">
        <v>2.2999999999999998</v>
      </c>
      <c r="B25" s="903">
        <v>1.1275999999999999</v>
      </c>
      <c r="C25" s="903">
        <v>1.1275999999999999</v>
      </c>
      <c r="D25" s="903">
        <v>1.032</v>
      </c>
      <c r="E25" s="903">
        <v>1.032</v>
      </c>
      <c r="F25" s="903">
        <v>1.032</v>
      </c>
      <c r="G25" s="903">
        <v>1.032</v>
      </c>
      <c r="H25" s="903">
        <v>1.032</v>
      </c>
      <c r="I25" s="903">
        <v>0.9304</v>
      </c>
      <c r="J25" s="903">
        <v>0.9304</v>
      </c>
      <c r="K25" s="903">
        <v>0.9304</v>
      </c>
      <c r="L25" s="903">
        <v>0.9304</v>
      </c>
      <c r="M25" s="903">
        <v>0.9304</v>
      </c>
    </row>
    <row r="26" spans="1:14">
      <c r="A26" s="911">
        <v>2.4</v>
      </c>
      <c r="B26" s="903">
        <v>1.1121000000000001</v>
      </c>
      <c r="C26" s="903">
        <v>1.1121000000000001</v>
      </c>
      <c r="D26" s="903">
        <v>1.0155000000000001</v>
      </c>
      <c r="E26" s="903">
        <v>1.0155000000000001</v>
      </c>
      <c r="F26" s="903">
        <v>1.0155000000000001</v>
      </c>
      <c r="G26" s="903">
        <v>1.0155000000000001</v>
      </c>
      <c r="H26" s="903">
        <v>1.0155000000000001</v>
      </c>
      <c r="I26" s="903">
        <v>0.91</v>
      </c>
      <c r="J26" s="903">
        <v>0.91</v>
      </c>
      <c r="K26" s="903">
        <v>0.91</v>
      </c>
      <c r="L26" s="903">
        <v>0.91</v>
      </c>
      <c r="M26" s="903">
        <v>0.91</v>
      </c>
    </row>
    <row r="27" spans="1:14">
      <c r="A27" s="911">
        <v>2.5</v>
      </c>
      <c r="B27" s="903">
        <v>1.0975999999999999</v>
      </c>
      <c r="C27" s="903">
        <v>1.0975999999999999</v>
      </c>
      <c r="D27" s="903">
        <v>1</v>
      </c>
      <c r="E27" s="903">
        <v>1</v>
      </c>
      <c r="F27" s="903">
        <v>1</v>
      </c>
      <c r="G27" s="903">
        <v>1</v>
      </c>
      <c r="H27" s="903">
        <v>1</v>
      </c>
      <c r="I27" s="903">
        <v>0.89080000000000004</v>
      </c>
      <c r="J27" s="903">
        <v>0.89080000000000004</v>
      </c>
      <c r="K27" s="903">
        <v>0.89080000000000004</v>
      </c>
      <c r="L27" s="903">
        <v>0.89080000000000004</v>
      </c>
      <c r="M27" s="903">
        <v>0.89080000000000004</v>
      </c>
    </row>
    <row r="28" spans="1:14">
      <c r="A28" s="911">
        <v>2.6</v>
      </c>
      <c r="B28" s="903">
        <v>1.0841000000000001</v>
      </c>
      <c r="C28" s="903">
        <v>1.0841000000000001</v>
      </c>
      <c r="D28" s="903">
        <v>0.98619999999999997</v>
      </c>
      <c r="E28" s="903">
        <v>0.98619999999999997</v>
      </c>
      <c r="F28" s="903">
        <v>0.98619999999999997</v>
      </c>
      <c r="G28" s="903">
        <v>0.98619999999999997</v>
      </c>
      <c r="H28" s="903">
        <v>0.98619999999999997</v>
      </c>
      <c r="I28" s="903">
        <v>0.873</v>
      </c>
      <c r="J28" s="903">
        <v>0.873</v>
      </c>
      <c r="K28" s="903">
        <v>0.873</v>
      </c>
      <c r="L28" s="903">
        <v>0.873</v>
      </c>
      <c r="M28" s="903">
        <v>0.873</v>
      </c>
    </row>
    <row r="29" spans="1:14">
      <c r="A29" s="911">
        <v>2.7</v>
      </c>
      <c r="B29" s="903">
        <v>1.0716000000000001</v>
      </c>
      <c r="C29" s="903">
        <v>1.0716000000000001</v>
      </c>
      <c r="D29" s="903">
        <v>0.97330000000000005</v>
      </c>
      <c r="E29" s="903">
        <v>0.97330000000000005</v>
      </c>
      <c r="F29" s="903">
        <v>0.97330000000000005</v>
      </c>
      <c r="G29" s="903">
        <v>0.97330000000000005</v>
      </c>
      <c r="H29" s="903">
        <v>0.97330000000000005</v>
      </c>
      <c r="I29" s="903">
        <v>0.85670000000000002</v>
      </c>
      <c r="J29" s="903">
        <v>0.85670000000000002</v>
      </c>
      <c r="K29" s="903">
        <v>0.85670000000000002</v>
      </c>
      <c r="L29" s="903">
        <v>0.85670000000000002</v>
      </c>
      <c r="M29" s="903">
        <v>0.85670000000000002</v>
      </c>
    </row>
    <row r="30" spans="1:14">
      <c r="A30" s="911">
        <v>2.8</v>
      </c>
      <c r="B30" s="903">
        <v>1.0602</v>
      </c>
      <c r="C30" s="903">
        <v>1.0602</v>
      </c>
      <c r="D30" s="903">
        <v>0.96160000000000001</v>
      </c>
      <c r="E30" s="903">
        <v>0.96160000000000001</v>
      </c>
      <c r="F30" s="903">
        <v>0.96160000000000001</v>
      </c>
      <c r="G30" s="903">
        <v>0.96160000000000001</v>
      </c>
      <c r="H30" s="903">
        <v>0.96160000000000001</v>
      </c>
      <c r="I30" s="903">
        <v>0.8417</v>
      </c>
      <c r="J30" s="903">
        <v>0.8417</v>
      </c>
      <c r="K30" s="903">
        <v>0.8417</v>
      </c>
      <c r="L30" s="903">
        <v>0.8417</v>
      </c>
      <c r="M30" s="903">
        <v>0.8417</v>
      </c>
    </row>
    <row r="31" spans="1:14">
      <c r="A31" s="911">
        <v>2.9</v>
      </c>
      <c r="B31" s="903">
        <v>1.0497000000000001</v>
      </c>
      <c r="C31" s="903">
        <v>1.0497000000000001</v>
      </c>
      <c r="D31" s="903">
        <v>0.95089999999999997</v>
      </c>
      <c r="E31" s="903">
        <v>0.95089999999999997</v>
      </c>
      <c r="F31" s="903">
        <v>0.95089999999999997</v>
      </c>
      <c r="G31" s="903">
        <v>0.95089999999999997</v>
      </c>
      <c r="H31" s="903">
        <v>0.95089999999999997</v>
      </c>
      <c r="I31" s="903">
        <v>0.82809999999999995</v>
      </c>
      <c r="J31" s="903">
        <v>0.82809999999999995</v>
      </c>
      <c r="K31" s="903">
        <v>0.82809999999999995</v>
      </c>
      <c r="L31" s="903">
        <v>0.82809999999999995</v>
      </c>
      <c r="M31" s="903">
        <v>0.82809999999999995</v>
      </c>
    </row>
    <row r="32" spans="1:14">
      <c r="A32" s="911">
        <v>3</v>
      </c>
      <c r="B32" s="903">
        <v>1.0401</v>
      </c>
      <c r="C32" s="903">
        <v>1.0401</v>
      </c>
      <c r="D32" s="903">
        <v>0.94089999999999996</v>
      </c>
      <c r="E32" s="903">
        <v>0.94089999999999996</v>
      </c>
      <c r="F32" s="903">
        <v>0.94089999999999996</v>
      </c>
      <c r="G32" s="903">
        <v>0.94089999999999996</v>
      </c>
      <c r="H32" s="903">
        <v>0.94089999999999996</v>
      </c>
      <c r="I32" s="903">
        <v>0.81579999999999997</v>
      </c>
      <c r="J32" s="903">
        <v>0.81579999999999997</v>
      </c>
      <c r="K32" s="903">
        <v>0.81579999999999997</v>
      </c>
      <c r="L32" s="903">
        <v>0.81579999999999997</v>
      </c>
      <c r="M32" s="903">
        <v>0.81579999999999997</v>
      </c>
    </row>
    <row r="33" spans="1:13">
      <c r="A33" s="911">
        <v>3.1</v>
      </c>
      <c r="B33" s="903">
        <v>1.0314000000000001</v>
      </c>
      <c r="C33" s="903">
        <v>1.0314000000000001</v>
      </c>
      <c r="D33" s="903">
        <v>0.93169999999999997</v>
      </c>
      <c r="E33" s="903">
        <v>0.93169999999999997</v>
      </c>
      <c r="F33" s="903">
        <v>0.93169999999999997</v>
      </c>
      <c r="G33" s="903">
        <v>0.93169999999999997</v>
      </c>
      <c r="H33" s="903">
        <v>0.93169999999999997</v>
      </c>
      <c r="I33" s="903">
        <v>0.80410000000000004</v>
      </c>
      <c r="J33" s="903">
        <v>0.80410000000000004</v>
      </c>
      <c r="K33" s="903">
        <v>0.80410000000000004</v>
      </c>
      <c r="L33" s="903">
        <v>0.80410000000000004</v>
      </c>
      <c r="M33" s="903">
        <v>0.80410000000000004</v>
      </c>
    </row>
    <row r="34" spans="1:13">
      <c r="A34" s="911">
        <v>3.2</v>
      </c>
      <c r="B34" s="903">
        <v>1.0229999999999999</v>
      </c>
      <c r="C34" s="903">
        <v>1.0229999999999999</v>
      </c>
      <c r="D34" s="903">
        <v>0.92279999999999995</v>
      </c>
      <c r="E34" s="903">
        <v>0.92279999999999995</v>
      </c>
      <c r="F34" s="903">
        <v>0.92279999999999995</v>
      </c>
      <c r="G34" s="903">
        <v>0.92279999999999995</v>
      </c>
      <c r="H34" s="903">
        <v>0.92279999999999995</v>
      </c>
      <c r="I34" s="903">
        <v>0.79300000000000004</v>
      </c>
      <c r="J34" s="903">
        <v>0.79300000000000004</v>
      </c>
      <c r="K34" s="903">
        <v>0.79300000000000004</v>
      </c>
      <c r="L34" s="903">
        <v>0.79300000000000004</v>
      </c>
      <c r="M34" s="903">
        <v>0.79300000000000004</v>
      </c>
    </row>
    <row r="35" spans="1:13">
      <c r="A35" s="911">
        <v>3.3</v>
      </c>
      <c r="B35" s="903">
        <v>1.0149999999999999</v>
      </c>
      <c r="C35" s="903">
        <v>1.0149999999999999</v>
      </c>
      <c r="D35" s="903">
        <v>0.91439999999999999</v>
      </c>
      <c r="E35" s="903">
        <v>0.91439999999999999</v>
      </c>
      <c r="F35" s="903">
        <v>0.91439999999999999</v>
      </c>
      <c r="G35" s="903">
        <v>0.91439999999999999</v>
      </c>
      <c r="H35" s="903">
        <v>0.91439999999999999</v>
      </c>
      <c r="I35" s="903">
        <v>0.78220000000000001</v>
      </c>
      <c r="J35" s="903">
        <v>0.78220000000000001</v>
      </c>
      <c r="K35" s="903">
        <v>0.78220000000000001</v>
      </c>
      <c r="L35" s="903">
        <v>0.78220000000000001</v>
      </c>
      <c r="M35" s="903">
        <v>0.78220000000000001</v>
      </c>
    </row>
    <row r="36" spans="1:13">
      <c r="A36" s="911">
        <v>3.4</v>
      </c>
      <c r="B36" s="903">
        <v>1.0073000000000001</v>
      </c>
      <c r="C36" s="903">
        <v>1.0073000000000001</v>
      </c>
      <c r="D36" s="903">
        <v>0.90629999999999999</v>
      </c>
      <c r="E36" s="903">
        <v>0.90629999999999999</v>
      </c>
      <c r="F36" s="903">
        <v>0.90629999999999999</v>
      </c>
      <c r="G36" s="903">
        <v>0.90629999999999999</v>
      </c>
      <c r="H36" s="903">
        <v>0.90629999999999999</v>
      </c>
      <c r="I36" s="903">
        <v>0.77210000000000001</v>
      </c>
      <c r="J36" s="903">
        <v>0.77210000000000001</v>
      </c>
      <c r="K36" s="903">
        <v>0.77210000000000001</v>
      </c>
      <c r="L36" s="903">
        <v>0.77210000000000001</v>
      </c>
      <c r="M36" s="903">
        <v>0.77210000000000001</v>
      </c>
    </row>
    <row r="37" spans="1:13">
      <c r="A37" s="911">
        <v>3.5</v>
      </c>
      <c r="B37" s="903">
        <v>1</v>
      </c>
      <c r="C37" s="903">
        <v>1</v>
      </c>
      <c r="D37" s="903">
        <v>0.89870000000000005</v>
      </c>
      <c r="E37" s="903">
        <v>0.89870000000000005</v>
      </c>
      <c r="F37" s="903">
        <v>0.89870000000000005</v>
      </c>
      <c r="G37" s="903">
        <v>0.89870000000000005</v>
      </c>
      <c r="H37" s="903">
        <v>0.89870000000000005</v>
      </c>
      <c r="I37" s="903">
        <v>0.76239999999999997</v>
      </c>
      <c r="J37" s="903">
        <v>0.76239999999999997</v>
      </c>
      <c r="K37" s="903">
        <v>0.76239999999999997</v>
      </c>
      <c r="L37" s="903">
        <v>0.76239999999999997</v>
      </c>
      <c r="M37" s="903">
        <v>0.76239999999999997</v>
      </c>
    </row>
    <row r="38" spans="1:13">
      <c r="A38" s="911">
        <v>3.6</v>
      </c>
      <c r="B38" s="903">
        <v>0.99329999999999996</v>
      </c>
      <c r="C38" s="903">
        <v>0.99329999999999996</v>
      </c>
      <c r="D38" s="903">
        <v>0.89139999999999997</v>
      </c>
      <c r="E38" s="903">
        <v>0.89139999999999997</v>
      </c>
      <c r="F38" s="903">
        <v>0.89139999999999997</v>
      </c>
      <c r="G38" s="903">
        <v>0.89139999999999997</v>
      </c>
      <c r="H38" s="903">
        <v>0.89139999999999997</v>
      </c>
      <c r="I38" s="903">
        <v>0.75319999999999998</v>
      </c>
      <c r="J38" s="903">
        <v>0.75319999999999998</v>
      </c>
      <c r="K38" s="903">
        <v>0.75319999999999998</v>
      </c>
      <c r="L38" s="903">
        <v>0.75319999999999998</v>
      </c>
      <c r="M38" s="903">
        <v>0.75319999999999998</v>
      </c>
    </row>
    <row r="39" spans="1:13">
      <c r="A39" s="911">
        <v>3.7</v>
      </c>
      <c r="B39" s="903">
        <v>0.9869</v>
      </c>
      <c r="C39" s="903">
        <v>0.9869</v>
      </c>
      <c r="D39" s="903">
        <v>0.88449999999999995</v>
      </c>
      <c r="E39" s="903">
        <v>0.88449999999999995</v>
      </c>
      <c r="F39" s="903">
        <v>0.88449999999999995</v>
      </c>
      <c r="G39" s="903">
        <v>0.88449999999999995</v>
      </c>
      <c r="H39" s="903">
        <v>0.88449999999999995</v>
      </c>
      <c r="I39" s="903">
        <v>0.74460000000000004</v>
      </c>
      <c r="J39" s="903">
        <v>0.74460000000000004</v>
      </c>
      <c r="K39" s="903">
        <v>0.74460000000000004</v>
      </c>
      <c r="L39" s="903">
        <v>0.74460000000000004</v>
      </c>
      <c r="M39" s="903">
        <v>0.74460000000000004</v>
      </c>
    </row>
    <row r="40" spans="1:13">
      <c r="A40" s="911">
        <v>3.8</v>
      </c>
      <c r="B40" s="903">
        <v>0.98080000000000001</v>
      </c>
      <c r="C40" s="903">
        <v>0.98080000000000001</v>
      </c>
      <c r="D40" s="903">
        <v>0.87809999999999999</v>
      </c>
      <c r="E40" s="903">
        <v>0.87809999999999999</v>
      </c>
      <c r="F40" s="903">
        <v>0.87809999999999999</v>
      </c>
      <c r="G40" s="903">
        <v>0.87809999999999999</v>
      </c>
      <c r="H40" s="903">
        <v>0.87809999999999999</v>
      </c>
      <c r="I40" s="903">
        <v>0.73640000000000005</v>
      </c>
      <c r="J40" s="903">
        <v>0.73640000000000005</v>
      </c>
      <c r="K40" s="903">
        <v>0.73640000000000005</v>
      </c>
      <c r="L40" s="903">
        <v>0.73640000000000005</v>
      </c>
      <c r="M40" s="903">
        <v>0.73640000000000005</v>
      </c>
    </row>
    <row r="41" spans="1:13">
      <c r="A41" s="911">
        <v>3.9</v>
      </c>
      <c r="B41" s="903">
        <v>0.97509999999999997</v>
      </c>
      <c r="C41" s="903">
        <v>0.97509999999999997</v>
      </c>
      <c r="D41" s="903">
        <v>0.87209999999999999</v>
      </c>
      <c r="E41" s="903">
        <v>0.87209999999999999</v>
      </c>
      <c r="F41" s="903">
        <v>0.87209999999999999</v>
      </c>
      <c r="G41" s="903">
        <v>0.87209999999999999</v>
      </c>
      <c r="H41" s="903">
        <v>0.87209999999999999</v>
      </c>
      <c r="I41" s="903">
        <v>0.7288</v>
      </c>
      <c r="J41" s="903">
        <v>0.7288</v>
      </c>
      <c r="K41" s="903">
        <v>0.7288</v>
      </c>
      <c r="L41" s="903">
        <v>0.7288</v>
      </c>
      <c r="M41" s="903">
        <v>0.7288</v>
      </c>
    </row>
    <row r="42" spans="1:13">
      <c r="A42" s="911">
        <v>4</v>
      </c>
      <c r="B42" s="903">
        <v>0.96989999999999998</v>
      </c>
      <c r="C42" s="903">
        <v>0.96989999999999998</v>
      </c>
      <c r="D42" s="903">
        <v>0.86650000000000005</v>
      </c>
      <c r="E42" s="903">
        <v>0.86650000000000005</v>
      </c>
      <c r="F42" s="903">
        <v>0.86650000000000005</v>
      </c>
      <c r="G42" s="903">
        <v>0.86650000000000005</v>
      </c>
      <c r="H42" s="903">
        <v>0.86650000000000005</v>
      </c>
      <c r="I42" s="903">
        <v>0.7218</v>
      </c>
      <c r="J42" s="903">
        <v>0.7218</v>
      </c>
      <c r="K42" s="903">
        <v>0.7218</v>
      </c>
      <c r="L42" s="903">
        <v>0.7218</v>
      </c>
      <c r="M42" s="903">
        <v>0.7218</v>
      </c>
    </row>
    <row r="43" spans="1:13">
      <c r="A43" s="911">
        <v>4.0999999999999996</v>
      </c>
      <c r="B43" s="903">
        <v>0.96479999999999999</v>
      </c>
      <c r="C43" s="903">
        <v>0.96479999999999999</v>
      </c>
      <c r="D43" s="903">
        <v>0.86109999999999998</v>
      </c>
      <c r="E43" s="903">
        <v>0.86109999999999998</v>
      </c>
      <c r="F43" s="903">
        <v>0.86109999999999998</v>
      </c>
      <c r="G43" s="903">
        <v>0.86109999999999998</v>
      </c>
      <c r="H43" s="903">
        <v>0.86109999999999998</v>
      </c>
      <c r="I43" s="903">
        <v>0.71499999999999997</v>
      </c>
      <c r="J43" s="903">
        <v>0.71499999999999997</v>
      </c>
      <c r="K43" s="903">
        <v>0.71499999999999997</v>
      </c>
      <c r="L43" s="903">
        <v>0.71499999999999997</v>
      </c>
      <c r="M43" s="903">
        <v>0.71499999999999997</v>
      </c>
    </row>
    <row r="44" spans="1:13">
      <c r="A44" s="911">
        <v>4.2</v>
      </c>
      <c r="B44" s="903">
        <v>0.96</v>
      </c>
      <c r="C44" s="903">
        <v>0.96</v>
      </c>
      <c r="D44" s="903">
        <v>0.85599999999999998</v>
      </c>
      <c r="E44" s="903">
        <v>0.85599999999999998</v>
      </c>
      <c r="F44" s="903">
        <v>0.85599999999999998</v>
      </c>
      <c r="G44" s="903">
        <v>0.85599999999999998</v>
      </c>
      <c r="H44" s="903">
        <v>0.85599999999999998</v>
      </c>
      <c r="I44" s="903">
        <v>0.70840000000000003</v>
      </c>
      <c r="J44" s="903">
        <v>0.70840000000000003</v>
      </c>
      <c r="K44" s="903">
        <v>0.70840000000000003</v>
      </c>
      <c r="L44" s="903">
        <v>0.70840000000000003</v>
      </c>
      <c r="M44" s="903">
        <v>0.70840000000000003</v>
      </c>
    </row>
    <row r="45" spans="1:13">
      <c r="A45" s="911">
        <v>4.3</v>
      </c>
      <c r="B45" s="903">
        <v>0.95530000000000004</v>
      </c>
      <c r="C45" s="903">
        <v>0.95530000000000004</v>
      </c>
      <c r="D45" s="903">
        <v>0.85099999999999998</v>
      </c>
      <c r="E45" s="903">
        <v>0.85099999999999998</v>
      </c>
      <c r="F45" s="903">
        <v>0.85099999999999998</v>
      </c>
      <c r="G45" s="903">
        <v>0.85099999999999998</v>
      </c>
      <c r="H45" s="903">
        <v>0.85099999999999998</v>
      </c>
      <c r="I45" s="903">
        <v>0.70199999999999996</v>
      </c>
      <c r="J45" s="903">
        <v>0.70199999999999996</v>
      </c>
      <c r="K45" s="903">
        <v>0.70199999999999996</v>
      </c>
      <c r="L45" s="903">
        <v>0.70199999999999996</v>
      </c>
      <c r="M45" s="903">
        <v>0.70199999999999996</v>
      </c>
    </row>
    <row r="46" spans="1:13">
      <c r="A46" s="911">
        <v>4.4000000000000004</v>
      </c>
      <c r="B46" s="903">
        <v>0.95079999999999998</v>
      </c>
      <c r="C46" s="903">
        <v>0.95079999999999998</v>
      </c>
      <c r="D46" s="903">
        <v>0.84619999999999995</v>
      </c>
      <c r="E46" s="903">
        <v>0.84619999999999995</v>
      </c>
      <c r="F46" s="903">
        <v>0.84619999999999995</v>
      </c>
      <c r="G46" s="903">
        <v>0.84619999999999995</v>
      </c>
      <c r="H46" s="903">
        <v>0.84619999999999995</v>
      </c>
      <c r="I46" s="903">
        <v>0.69579999999999997</v>
      </c>
      <c r="J46" s="903">
        <v>0.69579999999999997</v>
      </c>
      <c r="K46" s="903">
        <v>0.69579999999999997</v>
      </c>
      <c r="L46" s="903">
        <v>0.69579999999999997</v>
      </c>
      <c r="M46" s="903">
        <v>0.69579999999999997</v>
      </c>
    </row>
    <row r="47" spans="1:13">
      <c r="A47" s="911">
        <v>4.5</v>
      </c>
      <c r="B47" s="903">
        <v>0.94640000000000002</v>
      </c>
      <c r="C47" s="903">
        <v>0.94640000000000002</v>
      </c>
      <c r="D47" s="903">
        <v>0.84150000000000003</v>
      </c>
      <c r="E47" s="903">
        <v>0.84150000000000003</v>
      </c>
      <c r="F47" s="903">
        <v>0.84150000000000003</v>
      </c>
      <c r="G47" s="903">
        <v>0.84150000000000003</v>
      </c>
      <c r="H47" s="903">
        <v>0.84150000000000003</v>
      </c>
      <c r="I47" s="903">
        <v>0.68989999999999996</v>
      </c>
      <c r="J47" s="903">
        <v>0.68989999999999996</v>
      </c>
      <c r="K47" s="903">
        <v>0.68989999999999996</v>
      </c>
      <c r="L47" s="903">
        <v>0.68989999999999996</v>
      </c>
      <c r="M47" s="903">
        <v>0.68989999999999996</v>
      </c>
    </row>
    <row r="48" spans="1:13">
      <c r="A48" s="911">
        <v>4.5999999999999996</v>
      </c>
      <c r="B48" s="903">
        <v>0.94230000000000003</v>
      </c>
      <c r="C48" s="903">
        <v>0.94230000000000003</v>
      </c>
      <c r="D48" s="903">
        <v>0.83709999999999996</v>
      </c>
      <c r="E48" s="903">
        <v>0.83709999999999996</v>
      </c>
      <c r="F48" s="903">
        <v>0.83709999999999996</v>
      </c>
      <c r="G48" s="903">
        <v>0.83709999999999996</v>
      </c>
      <c r="H48" s="903">
        <v>0.83709999999999996</v>
      </c>
      <c r="I48" s="903">
        <v>0.68430000000000002</v>
      </c>
      <c r="J48" s="903">
        <v>0.68430000000000002</v>
      </c>
      <c r="K48" s="903">
        <v>0.68430000000000002</v>
      </c>
      <c r="L48" s="903">
        <v>0.68430000000000002</v>
      </c>
      <c r="M48" s="903">
        <v>0.68430000000000002</v>
      </c>
    </row>
    <row r="49" spans="1:13">
      <c r="A49" s="911">
        <v>4.7</v>
      </c>
      <c r="B49" s="903">
        <v>0.93830000000000002</v>
      </c>
      <c r="C49" s="903">
        <v>0.93830000000000002</v>
      </c>
      <c r="D49" s="903">
        <v>0.83279999999999998</v>
      </c>
      <c r="E49" s="903">
        <v>0.83279999999999998</v>
      </c>
      <c r="F49" s="903">
        <v>0.83279999999999998</v>
      </c>
      <c r="G49" s="903">
        <v>0.83279999999999998</v>
      </c>
      <c r="H49" s="903">
        <v>0.83279999999999998</v>
      </c>
      <c r="I49" s="903">
        <v>0.67879999999999996</v>
      </c>
      <c r="J49" s="903">
        <v>0.67879999999999996</v>
      </c>
      <c r="K49" s="903">
        <v>0.67879999999999996</v>
      </c>
      <c r="L49" s="903">
        <v>0.67879999999999996</v>
      </c>
      <c r="M49" s="903">
        <v>0.67879999999999996</v>
      </c>
    </row>
    <row r="50" spans="1:13">
      <c r="A50" s="911">
        <v>4.8</v>
      </c>
      <c r="B50" s="903">
        <v>0.9345</v>
      </c>
      <c r="C50" s="903">
        <v>0.9345</v>
      </c>
      <c r="D50" s="903">
        <v>0.82869999999999999</v>
      </c>
      <c r="E50" s="903">
        <v>0.82869999999999999</v>
      </c>
      <c r="F50" s="903">
        <v>0.82869999999999999</v>
      </c>
      <c r="G50" s="903">
        <v>0.82869999999999999</v>
      </c>
      <c r="H50" s="903">
        <v>0.82869999999999999</v>
      </c>
      <c r="I50" s="903">
        <v>0.67359999999999998</v>
      </c>
      <c r="J50" s="903">
        <v>0.67359999999999998</v>
      </c>
      <c r="K50" s="903">
        <v>0.67359999999999998</v>
      </c>
      <c r="L50" s="903">
        <v>0.67359999999999998</v>
      </c>
      <c r="M50" s="903">
        <v>0.67359999999999998</v>
      </c>
    </row>
    <row r="51" spans="1:13">
      <c r="A51" s="911">
        <v>4.9000000000000004</v>
      </c>
      <c r="B51" s="903">
        <v>0.93079999999999996</v>
      </c>
      <c r="C51" s="903">
        <v>0.93079999999999996</v>
      </c>
      <c r="D51" s="903">
        <v>0.82479999999999998</v>
      </c>
      <c r="E51" s="903">
        <v>0.82479999999999998</v>
      </c>
      <c r="F51" s="903">
        <v>0.82479999999999998</v>
      </c>
      <c r="G51" s="903">
        <v>0.82479999999999998</v>
      </c>
      <c r="H51" s="903">
        <v>0.82479999999999998</v>
      </c>
      <c r="I51" s="903">
        <v>0.66849999999999998</v>
      </c>
      <c r="J51" s="903">
        <v>0.66849999999999998</v>
      </c>
      <c r="K51" s="903">
        <v>0.66849999999999998</v>
      </c>
      <c r="L51" s="903">
        <v>0.66849999999999998</v>
      </c>
      <c r="M51" s="903">
        <v>0.66849999999999998</v>
      </c>
    </row>
    <row r="52" spans="1:13">
      <c r="A52" s="911">
        <v>5</v>
      </c>
      <c r="B52" s="903">
        <v>0.9274</v>
      </c>
      <c r="C52" s="903">
        <v>0.9274</v>
      </c>
      <c r="D52" s="903">
        <v>0.82110000000000005</v>
      </c>
      <c r="E52" s="903">
        <v>0.82110000000000005</v>
      </c>
      <c r="F52" s="903">
        <v>0.82110000000000005</v>
      </c>
      <c r="G52" s="903">
        <v>0.82110000000000005</v>
      </c>
      <c r="H52" s="903">
        <v>0.82110000000000005</v>
      </c>
      <c r="I52" s="903">
        <v>0.66369999999999996</v>
      </c>
      <c r="J52" s="903">
        <v>0.66369999999999996</v>
      </c>
      <c r="K52" s="903">
        <v>0.66369999999999996</v>
      </c>
      <c r="L52" s="903">
        <v>0.66369999999999996</v>
      </c>
      <c r="M52" s="903">
        <v>0.66369999999999996</v>
      </c>
    </row>
    <row r="53" spans="1:13">
      <c r="A53" s="896">
        <v>5.0999999999999996</v>
      </c>
      <c r="B53" s="903">
        <v>0.92410000000000003</v>
      </c>
      <c r="C53" s="903">
        <v>0.92410000000000003</v>
      </c>
      <c r="D53" s="903">
        <v>0.8175</v>
      </c>
      <c r="E53" s="903">
        <v>0.8175</v>
      </c>
      <c r="F53" s="903">
        <v>0.8175</v>
      </c>
      <c r="G53" s="903">
        <v>0.8175</v>
      </c>
      <c r="H53" s="903">
        <v>0.8175</v>
      </c>
      <c r="I53" s="903">
        <v>0.65900000000000003</v>
      </c>
      <c r="J53" s="903">
        <v>0.65900000000000003</v>
      </c>
      <c r="K53" s="903">
        <v>0.65900000000000003</v>
      </c>
      <c r="L53" s="903">
        <v>0.65900000000000003</v>
      </c>
      <c r="M53" s="903">
        <v>0.65900000000000003</v>
      </c>
    </row>
    <row r="54" spans="1:13">
      <c r="A54" s="896">
        <v>5.2</v>
      </c>
      <c r="B54" s="903">
        <v>0.92090000000000005</v>
      </c>
      <c r="C54" s="903">
        <v>0.92090000000000005</v>
      </c>
      <c r="D54" s="903">
        <v>0.81399999999999995</v>
      </c>
      <c r="E54" s="903">
        <v>0.81399999999999995</v>
      </c>
      <c r="F54" s="903">
        <v>0.81399999999999995</v>
      </c>
      <c r="G54" s="903">
        <v>0.81399999999999995</v>
      </c>
      <c r="H54" s="903">
        <v>0.81399999999999995</v>
      </c>
      <c r="I54" s="903">
        <v>0.65449999999999997</v>
      </c>
      <c r="J54" s="903">
        <v>0.65449999999999997</v>
      </c>
      <c r="K54" s="903">
        <v>0.65449999999999997</v>
      </c>
      <c r="L54" s="903">
        <v>0.65449999999999997</v>
      </c>
      <c r="M54" s="903">
        <v>0.65449999999999997</v>
      </c>
    </row>
    <row r="55" spans="1:13">
      <c r="A55" s="896">
        <v>5.3</v>
      </c>
      <c r="B55" s="903">
        <v>0.91790000000000005</v>
      </c>
      <c r="C55" s="903">
        <v>0.91790000000000005</v>
      </c>
      <c r="D55" s="903">
        <v>0.81059999999999999</v>
      </c>
      <c r="E55" s="903">
        <v>0.81059999999999999</v>
      </c>
      <c r="F55" s="903">
        <v>0.81059999999999999</v>
      </c>
      <c r="G55" s="903">
        <v>0.81059999999999999</v>
      </c>
      <c r="H55" s="903">
        <v>0.81059999999999999</v>
      </c>
      <c r="I55" s="903">
        <v>0.6502</v>
      </c>
      <c r="J55" s="903">
        <v>0.6502</v>
      </c>
      <c r="K55" s="903">
        <v>0.6502</v>
      </c>
      <c r="L55" s="903">
        <v>0.6502</v>
      </c>
      <c r="M55" s="903">
        <v>0.6502</v>
      </c>
    </row>
    <row r="56" spans="1:13">
      <c r="A56" s="896">
        <v>5.4</v>
      </c>
      <c r="B56" s="903">
        <v>0.91490000000000005</v>
      </c>
      <c r="C56" s="903">
        <v>0.91490000000000005</v>
      </c>
      <c r="D56" s="903">
        <v>0.80740000000000001</v>
      </c>
      <c r="E56" s="903">
        <v>0.80740000000000001</v>
      </c>
      <c r="F56" s="903">
        <v>0.80740000000000001</v>
      </c>
      <c r="G56" s="903">
        <v>0.80740000000000001</v>
      </c>
      <c r="H56" s="903">
        <v>0.80740000000000001</v>
      </c>
      <c r="I56" s="903">
        <v>0.64590000000000003</v>
      </c>
      <c r="J56" s="903">
        <v>0.64590000000000003</v>
      </c>
      <c r="K56" s="903">
        <v>0.64590000000000003</v>
      </c>
      <c r="L56" s="903">
        <v>0.64590000000000003</v>
      </c>
      <c r="M56" s="903">
        <v>0.64590000000000003</v>
      </c>
    </row>
    <row r="57" spans="1:13">
      <c r="A57" s="896">
        <v>5.5</v>
      </c>
      <c r="B57" s="903">
        <v>0.91200000000000003</v>
      </c>
      <c r="C57" s="903">
        <v>0.91200000000000003</v>
      </c>
      <c r="D57" s="903">
        <v>0.80420000000000003</v>
      </c>
      <c r="E57" s="903">
        <v>0.80420000000000003</v>
      </c>
      <c r="F57" s="903">
        <v>0.80420000000000003</v>
      </c>
      <c r="G57" s="903">
        <v>0.80420000000000003</v>
      </c>
      <c r="H57" s="903">
        <v>0.80420000000000003</v>
      </c>
      <c r="I57" s="903">
        <v>0.64180000000000004</v>
      </c>
      <c r="J57" s="903">
        <v>0.64180000000000004</v>
      </c>
      <c r="K57" s="903">
        <v>0.64180000000000004</v>
      </c>
      <c r="L57" s="903">
        <v>0.64180000000000004</v>
      </c>
      <c r="M57" s="903">
        <v>0.64180000000000004</v>
      </c>
    </row>
    <row r="58" spans="1:13">
      <c r="A58" s="896">
        <v>5.6</v>
      </c>
      <c r="B58" s="903">
        <v>0.90910000000000002</v>
      </c>
      <c r="C58" s="903">
        <v>0.90910000000000002</v>
      </c>
      <c r="D58" s="903">
        <v>0.80120000000000002</v>
      </c>
      <c r="E58" s="903">
        <v>0.80120000000000002</v>
      </c>
      <c r="F58" s="903">
        <v>0.80120000000000002</v>
      </c>
      <c r="G58" s="903">
        <v>0.80120000000000002</v>
      </c>
      <c r="H58" s="903">
        <v>0.80120000000000002</v>
      </c>
      <c r="I58" s="903">
        <v>0.63790000000000002</v>
      </c>
      <c r="J58" s="903">
        <v>0.63790000000000002</v>
      </c>
      <c r="K58" s="903">
        <v>0.63790000000000002</v>
      </c>
      <c r="L58" s="903">
        <v>0.63790000000000002</v>
      </c>
      <c r="M58" s="903">
        <v>0.63790000000000002</v>
      </c>
    </row>
    <row r="59" spans="1:13">
      <c r="A59" s="911">
        <v>5.7</v>
      </c>
      <c r="B59" s="903">
        <v>0.90639999999999998</v>
      </c>
      <c r="C59" s="903">
        <v>0.90639999999999998</v>
      </c>
      <c r="D59" s="903">
        <v>0.79820000000000002</v>
      </c>
      <c r="E59" s="903">
        <v>0.79820000000000002</v>
      </c>
      <c r="F59" s="903">
        <v>0.79820000000000002</v>
      </c>
      <c r="G59" s="903">
        <v>0.79820000000000002</v>
      </c>
      <c r="H59" s="903">
        <v>0.79820000000000002</v>
      </c>
      <c r="I59" s="903">
        <v>0.6341</v>
      </c>
      <c r="J59" s="903">
        <v>0.6341</v>
      </c>
      <c r="K59" s="903">
        <v>0.6341</v>
      </c>
      <c r="L59" s="903">
        <v>0.6341</v>
      </c>
      <c r="M59" s="903">
        <v>0.6341</v>
      </c>
    </row>
    <row r="60" spans="1:13">
      <c r="A60" s="896">
        <v>5.8</v>
      </c>
      <c r="B60" s="903">
        <v>0.90380000000000005</v>
      </c>
      <c r="C60" s="903">
        <v>0.90380000000000005</v>
      </c>
      <c r="D60" s="903">
        <v>0.7954</v>
      </c>
      <c r="E60" s="903">
        <v>0.7954</v>
      </c>
      <c r="F60" s="903">
        <v>0.7954</v>
      </c>
      <c r="G60" s="903">
        <v>0.7954</v>
      </c>
      <c r="H60" s="903">
        <v>0.7954</v>
      </c>
      <c r="I60" s="903">
        <v>0.63039999999999996</v>
      </c>
      <c r="J60" s="903">
        <v>0.63039999999999996</v>
      </c>
      <c r="K60" s="903">
        <v>0.63039999999999996</v>
      </c>
      <c r="L60" s="903">
        <v>0.63039999999999996</v>
      </c>
      <c r="M60" s="903">
        <v>0.63039999999999996</v>
      </c>
    </row>
    <row r="61" spans="1:13">
      <c r="A61" s="896">
        <v>5.9</v>
      </c>
      <c r="B61" s="903">
        <v>0.90129999999999999</v>
      </c>
      <c r="C61" s="903">
        <v>0.90129999999999999</v>
      </c>
      <c r="D61" s="903">
        <v>0.79269999999999996</v>
      </c>
      <c r="E61" s="903">
        <v>0.79269999999999996</v>
      </c>
      <c r="F61" s="903">
        <v>0.79269999999999996</v>
      </c>
      <c r="G61" s="903">
        <v>0.79269999999999996</v>
      </c>
      <c r="H61" s="903">
        <v>0.79269999999999996</v>
      </c>
      <c r="I61" s="903">
        <v>0.62690000000000001</v>
      </c>
      <c r="J61" s="903">
        <v>0.62690000000000001</v>
      </c>
      <c r="K61" s="903">
        <v>0.62690000000000001</v>
      </c>
      <c r="L61" s="903">
        <v>0.62690000000000001</v>
      </c>
      <c r="M61" s="903">
        <v>0.62690000000000001</v>
      </c>
    </row>
    <row r="62" spans="1:13">
      <c r="A62" s="896">
        <v>6</v>
      </c>
      <c r="B62" s="903">
        <v>0.89890000000000003</v>
      </c>
      <c r="C62" s="903">
        <v>0.89890000000000003</v>
      </c>
      <c r="D62" s="903">
        <v>0.79020000000000001</v>
      </c>
      <c r="E62" s="903">
        <v>0.79020000000000001</v>
      </c>
      <c r="F62" s="903">
        <v>0.79020000000000001</v>
      </c>
      <c r="G62" s="903">
        <v>0.79020000000000001</v>
      </c>
      <c r="H62" s="903">
        <v>0.79020000000000001</v>
      </c>
      <c r="I62" s="903">
        <v>0.62350000000000005</v>
      </c>
      <c r="J62" s="903">
        <v>0.62350000000000005</v>
      </c>
      <c r="K62" s="903">
        <v>0.62350000000000005</v>
      </c>
      <c r="L62" s="903">
        <v>0.62350000000000005</v>
      </c>
      <c r="M62" s="903">
        <v>0.62350000000000005</v>
      </c>
    </row>
    <row r="63" spans="1:13">
      <c r="A63" s="896">
        <v>6.1</v>
      </c>
      <c r="B63" s="903">
        <v>0.89649999999999996</v>
      </c>
      <c r="C63" s="903">
        <v>0.89649999999999996</v>
      </c>
      <c r="D63" s="903">
        <v>0.78769999999999996</v>
      </c>
      <c r="E63" s="903">
        <v>0.78769999999999996</v>
      </c>
      <c r="F63" s="903">
        <v>0.78769999999999996</v>
      </c>
      <c r="G63" s="903">
        <v>0.78769999999999996</v>
      </c>
      <c r="H63" s="903">
        <v>0.78769999999999996</v>
      </c>
      <c r="I63" s="903">
        <v>0.62029999999999996</v>
      </c>
      <c r="J63" s="903">
        <v>0.62029999999999996</v>
      </c>
      <c r="K63" s="903">
        <v>0.62029999999999996</v>
      </c>
      <c r="L63" s="903">
        <v>0.62029999999999996</v>
      </c>
      <c r="M63" s="903">
        <v>0.62029999999999996</v>
      </c>
    </row>
    <row r="64" spans="1:13">
      <c r="A64" s="896">
        <v>6.2</v>
      </c>
      <c r="B64" s="903">
        <v>0.89429999999999998</v>
      </c>
      <c r="C64" s="903">
        <v>0.89429999999999998</v>
      </c>
      <c r="D64" s="903">
        <v>0.78520000000000001</v>
      </c>
      <c r="E64" s="903">
        <v>0.78520000000000001</v>
      </c>
      <c r="F64" s="903">
        <v>0.78520000000000001</v>
      </c>
      <c r="G64" s="903">
        <v>0.78520000000000001</v>
      </c>
      <c r="H64" s="903">
        <v>0.78520000000000001</v>
      </c>
      <c r="I64" s="903">
        <v>0.61719999999999997</v>
      </c>
      <c r="J64" s="903">
        <v>0.61719999999999997</v>
      </c>
      <c r="K64" s="903">
        <v>0.61719999999999997</v>
      </c>
      <c r="L64" s="903">
        <v>0.61719999999999997</v>
      </c>
      <c r="M64" s="903">
        <v>0.61719999999999997</v>
      </c>
    </row>
    <row r="65" spans="1:13">
      <c r="A65" s="896">
        <v>6.3</v>
      </c>
      <c r="B65" s="903">
        <v>0.89200000000000002</v>
      </c>
      <c r="C65" s="903">
        <v>0.89200000000000002</v>
      </c>
      <c r="D65" s="903">
        <v>0.78280000000000005</v>
      </c>
      <c r="E65" s="903">
        <v>0.78280000000000005</v>
      </c>
      <c r="F65" s="903">
        <v>0.78280000000000005</v>
      </c>
      <c r="G65" s="903">
        <v>0.78280000000000005</v>
      </c>
      <c r="H65" s="903">
        <v>0.78280000000000005</v>
      </c>
      <c r="I65" s="903">
        <v>0.61409999999999998</v>
      </c>
      <c r="J65" s="903">
        <v>0.61409999999999998</v>
      </c>
      <c r="K65" s="903">
        <v>0.61409999999999998</v>
      </c>
      <c r="L65" s="903">
        <v>0.61409999999999998</v>
      </c>
      <c r="M65" s="903">
        <v>0.61409999999999998</v>
      </c>
    </row>
    <row r="66" spans="1:13">
      <c r="A66" s="896">
        <v>6.4</v>
      </c>
      <c r="B66" s="903">
        <v>0.88990000000000002</v>
      </c>
      <c r="C66" s="903">
        <v>0.88990000000000002</v>
      </c>
      <c r="D66" s="903">
        <v>0.78039999999999998</v>
      </c>
      <c r="E66" s="903">
        <v>0.78039999999999998</v>
      </c>
      <c r="F66" s="903">
        <v>0.78039999999999998</v>
      </c>
      <c r="G66" s="903">
        <v>0.78039999999999998</v>
      </c>
      <c r="H66" s="903">
        <v>0.78039999999999998</v>
      </c>
      <c r="I66" s="903">
        <v>0.61099999999999999</v>
      </c>
      <c r="J66" s="903">
        <v>0.61099999999999999</v>
      </c>
      <c r="K66" s="903">
        <v>0.61099999999999999</v>
      </c>
      <c r="L66" s="903">
        <v>0.61099999999999999</v>
      </c>
      <c r="M66" s="903">
        <v>0.61099999999999999</v>
      </c>
    </row>
    <row r="67" spans="1:13">
      <c r="A67" s="896">
        <v>6.5</v>
      </c>
      <c r="B67" s="903">
        <v>0.88780000000000003</v>
      </c>
      <c r="C67" s="903">
        <v>0.88780000000000003</v>
      </c>
      <c r="D67" s="903">
        <v>0.77810000000000001</v>
      </c>
      <c r="E67" s="903">
        <v>0.77810000000000001</v>
      </c>
      <c r="F67" s="903">
        <v>0.77810000000000001</v>
      </c>
      <c r="G67" s="903">
        <v>0.77810000000000001</v>
      </c>
      <c r="H67" s="903">
        <v>0.77810000000000001</v>
      </c>
      <c r="I67" s="903">
        <v>0.60799999999999998</v>
      </c>
      <c r="J67" s="903">
        <v>0.60799999999999998</v>
      </c>
      <c r="K67" s="903">
        <v>0.60799999999999998</v>
      </c>
      <c r="L67" s="903">
        <v>0.60799999999999998</v>
      </c>
      <c r="M67" s="903">
        <v>0.60799999999999998</v>
      </c>
    </row>
    <row r="68" spans="1:13">
      <c r="A68" s="896">
        <v>6.6</v>
      </c>
      <c r="B68" s="903">
        <v>0.88580000000000003</v>
      </c>
      <c r="C68" s="903">
        <v>0.88580000000000003</v>
      </c>
      <c r="D68" s="903">
        <v>0.77580000000000005</v>
      </c>
      <c r="E68" s="903">
        <v>0.77580000000000005</v>
      </c>
      <c r="F68" s="903">
        <v>0.77580000000000005</v>
      </c>
      <c r="G68" s="903">
        <v>0.77580000000000005</v>
      </c>
      <c r="H68" s="903">
        <v>0.77580000000000005</v>
      </c>
      <c r="I68" s="903">
        <v>0.60499999999999998</v>
      </c>
      <c r="J68" s="903">
        <v>0.60499999999999998</v>
      </c>
      <c r="K68" s="903">
        <v>0.60499999999999998</v>
      </c>
      <c r="L68" s="903">
        <v>0.60499999999999998</v>
      </c>
      <c r="M68" s="903">
        <v>0.60499999999999998</v>
      </c>
    </row>
    <row r="69" spans="1:13">
      <c r="A69" s="896">
        <v>6.7</v>
      </c>
      <c r="B69" s="903">
        <v>0.88380000000000003</v>
      </c>
      <c r="C69" s="903">
        <v>0.88380000000000003</v>
      </c>
      <c r="D69" s="903">
        <v>0.77359999999999995</v>
      </c>
      <c r="E69" s="903">
        <v>0.77359999999999995</v>
      </c>
      <c r="F69" s="903">
        <v>0.77359999999999995</v>
      </c>
      <c r="G69" s="903">
        <v>0.77359999999999995</v>
      </c>
      <c r="H69" s="903">
        <v>0.77359999999999995</v>
      </c>
      <c r="I69" s="903">
        <v>0.60209999999999997</v>
      </c>
      <c r="J69" s="903">
        <v>0.60209999999999997</v>
      </c>
      <c r="K69" s="903">
        <v>0.60209999999999997</v>
      </c>
      <c r="L69" s="903">
        <v>0.60209999999999997</v>
      </c>
      <c r="M69" s="903">
        <v>0.60209999999999997</v>
      </c>
    </row>
    <row r="70" spans="1:13">
      <c r="A70" s="896">
        <v>6.8</v>
      </c>
      <c r="B70" s="903">
        <v>0.88190000000000002</v>
      </c>
      <c r="C70" s="903">
        <v>0.88190000000000002</v>
      </c>
      <c r="D70" s="903">
        <v>0.77159999999999995</v>
      </c>
      <c r="E70" s="903">
        <v>0.77159999999999995</v>
      </c>
      <c r="F70" s="903">
        <v>0.77159999999999995</v>
      </c>
      <c r="G70" s="903">
        <v>0.77159999999999995</v>
      </c>
      <c r="H70" s="903">
        <v>0.77159999999999995</v>
      </c>
      <c r="I70" s="903">
        <v>0.59930000000000005</v>
      </c>
      <c r="J70" s="903">
        <v>0.59930000000000005</v>
      </c>
      <c r="K70" s="903">
        <v>0.59930000000000005</v>
      </c>
      <c r="L70" s="903">
        <v>0.59930000000000005</v>
      </c>
      <c r="M70" s="903">
        <v>0.59930000000000005</v>
      </c>
    </row>
    <row r="71" spans="1:13">
      <c r="A71" s="896">
        <v>6.9</v>
      </c>
      <c r="B71" s="903">
        <v>0.88</v>
      </c>
      <c r="C71" s="903">
        <v>0.88</v>
      </c>
      <c r="D71" s="903">
        <v>0.76949999999999996</v>
      </c>
      <c r="E71" s="903">
        <v>0.76949999999999996</v>
      </c>
      <c r="F71" s="903">
        <v>0.76949999999999996</v>
      </c>
      <c r="G71" s="903">
        <v>0.76949999999999996</v>
      </c>
      <c r="H71" s="903">
        <v>0.76949999999999996</v>
      </c>
      <c r="I71" s="903">
        <v>0.59640000000000004</v>
      </c>
      <c r="J71" s="903">
        <v>0.59640000000000004</v>
      </c>
      <c r="K71" s="903">
        <v>0.59640000000000004</v>
      </c>
      <c r="L71" s="903">
        <v>0.59640000000000004</v>
      </c>
      <c r="M71" s="903">
        <v>0.59640000000000004</v>
      </c>
    </row>
    <row r="72" spans="1:13">
      <c r="A72" s="896">
        <v>7</v>
      </c>
      <c r="B72" s="903">
        <v>0.87819999999999998</v>
      </c>
      <c r="C72" s="903">
        <v>0.87819999999999998</v>
      </c>
      <c r="D72" s="903">
        <v>0.76749999999999996</v>
      </c>
      <c r="E72" s="903">
        <v>0.76749999999999996</v>
      </c>
      <c r="F72" s="903">
        <v>0.76749999999999996</v>
      </c>
      <c r="G72" s="903">
        <v>0.76749999999999996</v>
      </c>
      <c r="H72" s="903">
        <v>0.76749999999999996</v>
      </c>
      <c r="I72" s="903">
        <v>0.59360000000000002</v>
      </c>
      <c r="J72" s="903">
        <v>0.59360000000000002</v>
      </c>
      <c r="K72" s="903">
        <v>0.59360000000000002</v>
      </c>
      <c r="L72" s="903">
        <v>0.59360000000000002</v>
      </c>
      <c r="M72" s="903">
        <v>0.59360000000000002</v>
      </c>
    </row>
    <row r="73" spans="1:13">
      <c r="A73" s="896">
        <v>7.1</v>
      </c>
      <c r="B73" s="903">
        <v>0.87660000000000005</v>
      </c>
      <c r="C73" s="903">
        <v>0.87660000000000005</v>
      </c>
      <c r="D73" s="903">
        <v>0.76570000000000005</v>
      </c>
      <c r="E73" s="903">
        <v>0.76570000000000005</v>
      </c>
      <c r="F73" s="903">
        <v>0.76570000000000005</v>
      </c>
      <c r="G73" s="903">
        <v>0.76570000000000005</v>
      </c>
      <c r="H73" s="903">
        <v>0.76570000000000005</v>
      </c>
      <c r="I73" s="903">
        <v>0.59109999999999996</v>
      </c>
      <c r="J73" s="903">
        <v>0.59109999999999996</v>
      </c>
      <c r="K73" s="903">
        <v>0.59109999999999996</v>
      </c>
      <c r="L73" s="903">
        <v>0.59109999999999996</v>
      </c>
      <c r="M73" s="903">
        <v>0.59109999999999996</v>
      </c>
    </row>
    <row r="74" spans="1:13">
      <c r="A74" s="896">
        <v>7.2</v>
      </c>
      <c r="B74" s="903">
        <v>0.87490000000000001</v>
      </c>
      <c r="C74" s="903">
        <v>0.87490000000000001</v>
      </c>
      <c r="D74" s="903">
        <v>0.76380000000000003</v>
      </c>
      <c r="E74" s="903">
        <v>0.76380000000000003</v>
      </c>
      <c r="F74" s="903">
        <v>0.76380000000000003</v>
      </c>
      <c r="G74" s="903">
        <v>0.76380000000000003</v>
      </c>
      <c r="H74" s="903">
        <v>0.76380000000000003</v>
      </c>
      <c r="I74" s="903">
        <v>0.58860000000000001</v>
      </c>
      <c r="J74" s="903">
        <v>0.58860000000000001</v>
      </c>
      <c r="K74" s="903">
        <v>0.58860000000000001</v>
      </c>
      <c r="L74" s="903">
        <v>0.58860000000000001</v>
      </c>
      <c r="M74" s="903">
        <v>0.58860000000000001</v>
      </c>
    </row>
    <row r="75" spans="1:13">
      <c r="A75" s="896">
        <v>7.3</v>
      </c>
      <c r="B75" s="903">
        <v>0.87329999999999997</v>
      </c>
      <c r="C75" s="903">
        <v>0.87329999999999997</v>
      </c>
      <c r="D75" s="903">
        <v>0.76200000000000001</v>
      </c>
      <c r="E75" s="903">
        <v>0.76200000000000001</v>
      </c>
      <c r="F75" s="903">
        <v>0.76200000000000001</v>
      </c>
      <c r="G75" s="903">
        <v>0.76200000000000001</v>
      </c>
      <c r="H75" s="903">
        <v>0.76200000000000001</v>
      </c>
      <c r="I75" s="903">
        <v>0.58620000000000005</v>
      </c>
      <c r="J75" s="903">
        <v>0.58620000000000005</v>
      </c>
      <c r="K75" s="903">
        <v>0.58620000000000005</v>
      </c>
      <c r="L75" s="903">
        <v>0.58620000000000005</v>
      </c>
      <c r="M75" s="903">
        <v>0.58620000000000005</v>
      </c>
    </row>
    <row r="76" spans="1:13">
      <c r="A76" s="896">
        <v>7.4</v>
      </c>
      <c r="B76" s="903">
        <v>0.87160000000000004</v>
      </c>
      <c r="C76" s="903">
        <v>0.87160000000000004</v>
      </c>
      <c r="D76" s="903">
        <v>0.76029999999999998</v>
      </c>
      <c r="E76" s="903">
        <v>0.76029999999999998</v>
      </c>
      <c r="F76" s="903">
        <v>0.76029999999999998</v>
      </c>
      <c r="G76" s="903">
        <v>0.76029999999999998</v>
      </c>
      <c r="H76" s="903">
        <v>0.76029999999999998</v>
      </c>
      <c r="I76" s="903">
        <v>0.58379999999999999</v>
      </c>
      <c r="J76" s="903">
        <v>0.58379999999999999</v>
      </c>
      <c r="K76" s="903">
        <v>0.58379999999999999</v>
      </c>
      <c r="L76" s="903">
        <v>0.58379999999999999</v>
      </c>
      <c r="M76" s="903">
        <v>0.58379999999999999</v>
      </c>
    </row>
    <row r="77" spans="1:13">
      <c r="A77" s="896">
        <v>7.5</v>
      </c>
      <c r="B77" s="903">
        <v>0.87</v>
      </c>
      <c r="C77" s="903">
        <v>0.87</v>
      </c>
      <c r="D77" s="903">
        <v>0.75849999999999995</v>
      </c>
      <c r="E77" s="903">
        <v>0.75849999999999995</v>
      </c>
      <c r="F77" s="903">
        <v>0.75849999999999995</v>
      </c>
      <c r="G77" s="903">
        <v>0.75849999999999995</v>
      </c>
      <c r="H77" s="903">
        <v>0.75849999999999995</v>
      </c>
      <c r="I77" s="903">
        <v>0.58140000000000003</v>
      </c>
      <c r="J77" s="903">
        <v>0.58140000000000003</v>
      </c>
      <c r="K77" s="903">
        <v>0.58140000000000003</v>
      </c>
      <c r="L77" s="903">
        <v>0.58140000000000003</v>
      </c>
      <c r="M77" s="903">
        <v>0.58140000000000003</v>
      </c>
    </row>
    <row r="78" spans="1:13">
      <c r="A78" s="896">
        <v>7.6</v>
      </c>
      <c r="B78" s="903">
        <v>0.86839999999999995</v>
      </c>
      <c r="C78" s="903">
        <v>0.86839999999999995</v>
      </c>
      <c r="D78" s="903">
        <v>0.75680000000000003</v>
      </c>
      <c r="E78" s="903">
        <v>0.75680000000000003</v>
      </c>
      <c r="F78" s="903">
        <v>0.75680000000000003</v>
      </c>
      <c r="G78" s="903">
        <v>0.75680000000000003</v>
      </c>
      <c r="H78" s="903">
        <v>0.75680000000000003</v>
      </c>
      <c r="I78" s="903">
        <v>0.57899999999999996</v>
      </c>
      <c r="J78" s="903">
        <v>0.57899999999999996</v>
      </c>
      <c r="K78" s="903">
        <v>0.57899999999999996</v>
      </c>
      <c r="L78" s="903">
        <v>0.57899999999999996</v>
      </c>
      <c r="M78" s="903">
        <v>0.57899999999999996</v>
      </c>
    </row>
    <row r="79" spans="1:13">
      <c r="A79" s="896">
        <v>7.7</v>
      </c>
      <c r="B79" s="903">
        <v>0.8669</v>
      </c>
      <c r="C79" s="903">
        <v>0.8669</v>
      </c>
      <c r="D79" s="903">
        <v>0.755</v>
      </c>
      <c r="E79" s="903">
        <v>0.755</v>
      </c>
      <c r="F79" s="903">
        <v>0.755</v>
      </c>
      <c r="G79" s="903">
        <v>0.755</v>
      </c>
      <c r="H79" s="903">
        <v>0.755</v>
      </c>
      <c r="I79" s="903">
        <v>0.57669999999999999</v>
      </c>
      <c r="J79" s="903">
        <v>0.57669999999999999</v>
      </c>
      <c r="K79" s="903">
        <v>0.57669999999999999</v>
      </c>
      <c r="L79" s="903">
        <v>0.57669999999999999</v>
      </c>
      <c r="M79" s="903">
        <v>0.57669999999999999</v>
      </c>
    </row>
    <row r="80" spans="1:13">
      <c r="A80" s="896">
        <v>7.8</v>
      </c>
      <c r="B80" s="903">
        <v>0.86539999999999995</v>
      </c>
      <c r="C80" s="903">
        <v>0.86539999999999995</v>
      </c>
      <c r="D80" s="903">
        <v>0.75329999999999997</v>
      </c>
      <c r="E80" s="903">
        <v>0.75329999999999997</v>
      </c>
      <c r="F80" s="903">
        <v>0.75329999999999997</v>
      </c>
      <c r="G80" s="903">
        <v>0.75329999999999997</v>
      </c>
      <c r="H80" s="903">
        <v>0.75329999999999997</v>
      </c>
      <c r="I80" s="903">
        <v>0.57450000000000001</v>
      </c>
      <c r="J80" s="903">
        <v>0.57450000000000001</v>
      </c>
      <c r="K80" s="903">
        <v>0.57450000000000001</v>
      </c>
      <c r="L80" s="903">
        <v>0.57450000000000001</v>
      </c>
      <c r="M80" s="903">
        <v>0.57450000000000001</v>
      </c>
    </row>
    <row r="81" spans="1:13">
      <c r="A81" s="896">
        <v>7.9</v>
      </c>
      <c r="B81" s="903">
        <v>0.86380000000000001</v>
      </c>
      <c r="C81" s="903">
        <v>0.86380000000000001</v>
      </c>
      <c r="D81" s="903">
        <v>0.75170000000000003</v>
      </c>
      <c r="E81" s="903">
        <v>0.75170000000000003</v>
      </c>
      <c r="F81" s="903">
        <v>0.75170000000000003</v>
      </c>
      <c r="G81" s="903">
        <v>0.75170000000000003</v>
      </c>
      <c r="H81" s="903">
        <v>0.75170000000000003</v>
      </c>
      <c r="I81" s="903">
        <v>0.57220000000000004</v>
      </c>
      <c r="J81" s="903">
        <v>0.57220000000000004</v>
      </c>
      <c r="K81" s="903">
        <v>0.57220000000000004</v>
      </c>
      <c r="L81" s="903">
        <v>0.57220000000000004</v>
      </c>
      <c r="M81" s="903">
        <v>0.57220000000000004</v>
      </c>
    </row>
    <row r="82" spans="1:13">
      <c r="A82" s="896">
        <v>8</v>
      </c>
      <c r="B82" s="903">
        <v>0.86240000000000006</v>
      </c>
      <c r="C82" s="903">
        <v>0.86240000000000006</v>
      </c>
      <c r="D82" s="903">
        <v>0.75</v>
      </c>
      <c r="E82" s="903">
        <v>0.75</v>
      </c>
      <c r="F82" s="903">
        <v>0.75</v>
      </c>
      <c r="G82" s="903">
        <v>0.75</v>
      </c>
      <c r="H82" s="903">
        <v>0.75</v>
      </c>
      <c r="I82" s="903">
        <v>0.56989999999999996</v>
      </c>
      <c r="J82" s="903">
        <v>0.56989999999999996</v>
      </c>
      <c r="K82" s="903">
        <v>0.56989999999999996</v>
      </c>
      <c r="L82" s="903">
        <v>0.56989999999999996</v>
      </c>
      <c r="M82" s="903">
        <v>0.56989999999999996</v>
      </c>
    </row>
    <row r="83" spans="1:13">
      <c r="A83" s="896">
        <v>8.1</v>
      </c>
      <c r="B83" s="903">
        <v>0.86099999999999999</v>
      </c>
      <c r="C83" s="903">
        <v>0.86099999999999999</v>
      </c>
      <c r="D83" s="903">
        <v>0.74850000000000005</v>
      </c>
      <c r="E83" s="903">
        <v>0.74850000000000005</v>
      </c>
      <c r="F83" s="903">
        <v>0.74850000000000005</v>
      </c>
      <c r="G83" s="903">
        <v>0.74850000000000005</v>
      </c>
      <c r="H83" s="903">
        <v>0.74850000000000005</v>
      </c>
      <c r="I83" s="903">
        <v>0.56779999999999997</v>
      </c>
      <c r="J83" s="903">
        <v>0.56779999999999997</v>
      </c>
      <c r="K83" s="903">
        <v>0.56779999999999997</v>
      </c>
      <c r="L83" s="903">
        <v>0.56779999999999997</v>
      </c>
      <c r="M83" s="903">
        <v>0.56779999999999997</v>
      </c>
    </row>
    <row r="84" spans="1:13">
      <c r="A84" s="896">
        <v>8.1999999999999993</v>
      </c>
      <c r="B84" s="903">
        <v>0.85970000000000002</v>
      </c>
      <c r="C84" s="903">
        <v>0.85970000000000002</v>
      </c>
      <c r="D84" s="903">
        <v>0.747</v>
      </c>
      <c r="E84" s="903">
        <v>0.747</v>
      </c>
      <c r="F84" s="903">
        <v>0.747</v>
      </c>
      <c r="G84" s="903">
        <v>0.747</v>
      </c>
      <c r="H84" s="903">
        <v>0.747</v>
      </c>
      <c r="I84" s="903">
        <v>0.56589999999999996</v>
      </c>
      <c r="J84" s="903">
        <v>0.56589999999999996</v>
      </c>
      <c r="K84" s="903">
        <v>0.56589999999999996</v>
      </c>
      <c r="L84" s="903">
        <v>0.56589999999999996</v>
      </c>
      <c r="M84" s="903">
        <v>0.56589999999999996</v>
      </c>
    </row>
    <row r="85" spans="1:13">
      <c r="A85" s="896">
        <v>8.3000000000000007</v>
      </c>
      <c r="B85" s="903">
        <v>0.85840000000000005</v>
      </c>
      <c r="C85" s="903">
        <v>0.85840000000000005</v>
      </c>
      <c r="D85" s="903">
        <v>0.74560000000000004</v>
      </c>
      <c r="E85" s="903">
        <v>0.74560000000000004</v>
      </c>
      <c r="F85" s="903">
        <v>0.74560000000000004</v>
      </c>
      <c r="G85" s="903">
        <v>0.74560000000000004</v>
      </c>
      <c r="H85" s="903">
        <v>0.74560000000000004</v>
      </c>
      <c r="I85" s="903">
        <v>0.56389999999999996</v>
      </c>
      <c r="J85" s="903">
        <v>0.56389999999999996</v>
      </c>
      <c r="K85" s="903">
        <v>0.56389999999999996</v>
      </c>
      <c r="L85" s="903">
        <v>0.56389999999999996</v>
      </c>
      <c r="M85" s="903">
        <v>0.56389999999999996</v>
      </c>
    </row>
    <row r="86" spans="1:13">
      <c r="A86" s="896">
        <v>8.4</v>
      </c>
      <c r="B86" s="903">
        <v>0.85709999999999997</v>
      </c>
      <c r="C86" s="903">
        <v>0.85709999999999997</v>
      </c>
      <c r="D86" s="903">
        <v>0.74419999999999997</v>
      </c>
      <c r="E86" s="903">
        <v>0.74419999999999997</v>
      </c>
      <c r="F86" s="903">
        <v>0.74419999999999997</v>
      </c>
      <c r="G86" s="903">
        <v>0.74419999999999997</v>
      </c>
      <c r="H86" s="903">
        <v>0.74419999999999997</v>
      </c>
      <c r="I86" s="903">
        <v>0.56189999999999996</v>
      </c>
      <c r="J86" s="903">
        <v>0.56189999999999996</v>
      </c>
      <c r="K86" s="903">
        <v>0.56189999999999996</v>
      </c>
      <c r="L86" s="903">
        <v>0.56189999999999996</v>
      </c>
      <c r="M86" s="903">
        <v>0.56189999999999996</v>
      </c>
    </row>
    <row r="87" spans="1:13">
      <c r="A87" s="896">
        <v>8.5</v>
      </c>
      <c r="B87" s="903">
        <v>0.85580000000000001</v>
      </c>
      <c r="C87" s="903">
        <v>0.85580000000000001</v>
      </c>
      <c r="D87" s="903">
        <v>0.74270000000000003</v>
      </c>
      <c r="E87" s="903">
        <v>0.74270000000000003</v>
      </c>
      <c r="F87" s="903">
        <v>0.74270000000000003</v>
      </c>
      <c r="G87" s="903">
        <v>0.74270000000000003</v>
      </c>
      <c r="H87" s="903">
        <v>0.74270000000000003</v>
      </c>
      <c r="I87" s="903">
        <v>0.55989999999999995</v>
      </c>
      <c r="J87" s="903">
        <v>0.55989999999999995</v>
      </c>
      <c r="K87" s="903">
        <v>0.55989999999999995</v>
      </c>
      <c r="L87" s="903">
        <v>0.55989999999999995</v>
      </c>
      <c r="M87" s="903">
        <v>0.55989999999999995</v>
      </c>
    </row>
    <row r="88" spans="1:13">
      <c r="A88" s="896">
        <v>8.6</v>
      </c>
      <c r="B88" s="903">
        <v>0.85450000000000004</v>
      </c>
      <c r="C88" s="903">
        <v>0.85450000000000004</v>
      </c>
      <c r="D88" s="903">
        <v>0.74129999999999996</v>
      </c>
      <c r="E88" s="903">
        <v>0.74129999999999996</v>
      </c>
      <c r="F88" s="903">
        <v>0.74129999999999996</v>
      </c>
      <c r="G88" s="903">
        <v>0.74129999999999996</v>
      </c>
      <c r="H88" s="903">
        <v>0.74129999999999996</v>
      </c>
      <c r="I88" s="903">
        <v>0.55800000000000005</v>
      </c>
      <c r="J88" s="903">
        <v>0.55800000000000005</v>
      </c>
      <c r="K88" s="903">
        <v>0.55800000000000005</v>
      </c>
      <c r="L88" s="903">
        <v>0.55800000000000005</v>
      </c>
      <c r="M88" s="903">
        <v>0.55800000000000005</v>
      </c>
    </row>
    <row r="89" spans="1:13">
      <c r="A89" s="896">
        <v>8.6999999999999993</v>
      </c>
      <c r="B89" s="903">
        <v>0.85329999999999995</v>
      </c>
      <c r="C89" s="903">
        <v>0.85329999999999995</v>
      </c>
      <c r="D89" s="903">
        <v>0.7399</v>
      </c>
      <c r="E89" s="903">
        <v>0.7399</v>
      </c>
      <c r="F89" s="903">
        <v>0.7399</v>
      </c>
      <c r="G89" s="903">
        <v>0.7399</v>
      </c>
      <c r="H89" s="903">
        <v>0.7399</v>
      </c>
      <c r="I89" s="903">
        <v>0.55600000000000005</v>
      </c>
      <c r="J89" s="903">
        <v>0.55600000000000005</v>
      </c>
      <c r="K89" s="903">
        <v>0.55600000000000005</v>
      </c>
      <c r="L89" s="903">
        <v>0.55600000000000005</v>
      </c>
      <c r="M89" s="903">
        <v>0.55600000000000005</v>
      </c>
    </row>
    <row r="90" spans="1:13">
      <c r="A90" s="896">
        <v>8.8000000000000007</v>
      </c>
      <c r="B90" s="903">
        <v>0.85209999999999997</v>
      </c>
      <c r="C90" s="903">
        <v>0.85209999999999997</v>
      </c>
      <c r="D90" s="903">
        <v>0.73850000000000005</v>
      </c>
      <c r="E90" s="903">
        <v>0.73850000000000005</v>
      </c>
      <c r="F90" s="903">
        <v>0.73850000000000005</v>
      </c>
      <c r="G90" s="903">
        <v>0.73850000000000005</v>
      </c>
      <c r="H90" s="903">
        <v>0.73850000000000005</v>
      </c>
      <c r="I90" s="903">
        <v>0.55420000000000003</v>
      </c>
      <c r="J90" s="903">
        <v>0.55420000000000003</v>
      </c>
      <c r="K90" s="903">
        <v>0.55420000000000003</v>
      </c>
      <c r="L90" s="903">
        <v>0.55420000000000003</v>
      </c>
      <c r="M90" s="903">
        <v>0.55420000000000003</v>
      </c>
    </row>
    <row r="91" spans="1:13">
      <c r="A91" s="896">
        <v>8.9</v>
      </c>
      <c r="B91" s="903">
        <v>0.85099999999999998</v>
      </c>
      <c r="C91" s="903">
        <v>0.85099999999999998</v>
      </c>
      <c r="D91" s="903">
        <v>0.73719999999999997</v>
      </c>
      <c r="E91" s="903">
        <v>0.73719999999999997</v>
      </c>
      <c r="F91" s="903">
        <v>0.73719999999999997</v>
      </c>
      <c r="G91" s="903">
        <v>0.73719999999999997</v>
      </c>
      <c r="H91" s="903">
        <v>0.73719999999999997</v>
      </c>
      <c r="I91" s="903">
        <v>0.55230000000000001</v>
      </c>
      <c r="J91" s="903">
        <v>0.55230000000000001</v>
      </c>
      <c r="K91" s="903">
        <v>0.55230000000000001</v>
      </c>
      <c r="L91" s="903">
        <v>0.55230000000000001</v>
      </c>
      <c r="M91" s="903">
        <v>0.55230000000000001</v>
      </c>
    </row>
    <row r="92" spans="1:13">
      <c r="A92" s="911">
        <v>9</v>
      </c>
      <c r="B92" s="903">
        <v>0.8498</v>
      </c>
      <c r="C92" s="903">
        <v>0.8498</v>
      </c>
      <c r="D92" s="903">
        <v>0.7359</v>
      </c>
      <c r="E92" s="903">
        <v>0.7359</v>
      </c>
      <c r="F92" s="903">
        <v>0.7359</v>
      </c>
      <c r="G92" s="903">
        <v>0.7359</v>
      </c>
      <c r="H92" s="903">
        <v>0.7359</v>
      </c>
      <c r="I92" s="903">
        <v>0.55049999999999999</v>
      </c>
      <c r="J92" s="903">
        <v>0.55049999999999999</v>
      </c>
      <c r="K92" s="903">
        <v>0.55049999999999999</v>
      </c>
      <c r="L92" s="903">
        <v>0.55049999999999999</v>
      </c>
      <c r="M92" s="903">
        <v>0.55049999999999999</v>
      </c>
    </row>
    <row r="93" spans="1:13">
      <c r="A93" s="911">
        <v>9.1</v>
      </c>
      <c r="B93" s="903">
        <v>0.84870000000000001</v>
      </c>
      <c r="C93" s="903">
        <v>0.84870000000000001</v>
      </c>
      <c r="D93" s="903">
        <v>0.73470000000000002</v>
      </c>
      <c r="E93" s="903">
        <v>0.73470000000000002</v>
      </c>
      <c r="F93" s="903">
        <v>0.73470000000000002</v>
      </c>
      <c r="G93" s="903">
        <v>0.73470000000000002</v>
      </c>
      <c r="H93" s="903">
        <v>0.73470000000000002</v>
      </c>
      <c r="I93" s="903">
        <v>0.54879999999999995</v>
      </c>
      <c r="J93" s="903">
        <v>0.54879999999999995</v>
      </c>
      <c r="K93" s="903">
        <v>0.54879999999999995</v>
      </c>
      <c r="L93" s="903">
        <v>0.54879999999999995</v>
      </c>
      <c r="M93" s="903">
        <v>0.54879999999999995</v>
      </c>
    </row>
    <row r="94" spans="1:13">
      <c r="A94" s="911">
        <v>9.1999999999999993</v>
      </c>
      <c r="B94" s="903">
        <v>0.84770000000000001</v>
      </c>
      <c r="C94" s="903">
        <v>0.84770000000000001</v>
      </c>
      <c r="D94" s="903">
        <v>0.73350000000000004</v>
      </c>
      <c r="E94" s="903">
        <v>0.73350000000000004</v>
      </c>
      <c r="F94" s="903">
        <v>0.73350000000000004</v>
      </c>
      <c r="G94" s="903">
        <v>0.73350000000000004</v>
      </c>
      <c r="H94" s="903">
        <v>0.73350000000000004</v>
      </c>
      <c r="I94" s="903">
        <v>0.54710000000000003</v>
      </c>
      <c r="J94" s="903">
        <v>0.54710000000000003</v>
      </c>
      <c r="K94" s="903">
        <v>0.54710000000000003</v>
      </c>
      <c r="L94" s="903">
        <v>0.54710000000000003</v>
      </c>
      <c r="M94" s="903">
        <v>0.54710000000000003</v>
      </c>
    </row>
    <row r="95" spans="1:13">
      <c r="A95" s="911">
        <v>9.3000000000000007</v>
      </c>
      <c r="B95" s="903">
        <v>0.84660000000000002</v>
      </c>
      <c r="C95" s="903">
        <v>0.84660000000000002</v>
      </c>
      <c r="D95" s="903">
        <v>0.73229999999999995</v>
      </c>
      <c r="E95" s="903">
        <v>0.73229999999999995</v>
      </c>
      <c r="F95" s="903">
        <v>0.73229999999999995</v>
      </c>
      <c r="G95" s="903">
        <v>0.73229999999999995</v>
      </c>
      <c r="H95" s="903">
        <v>0.73229999999999995</v>
      </c>
      <c r="I95" s="903">
        <v>0.5454</v>
      </c>
      <c r="J95" s="903">
        <v>0.5454</v>
      </c>
      <c r="K95" s="903">
        <v>0.5454</v>
      </c>
      <c r="L95" s="903">
        <v>0.5454</v>
      </c>
      <c r="M95" s="903">
        <v>0.5454</v>
      </c>
    </row>
    <row r="96" spans="1:13">
      <c r="A96" s="911">
        <v>9.4</v>
      </c>
      <c r="B96" s="903">
        <v>0.84550000000000003</v>
      </c>
      <c r="C96" s="903">
        <v>0.84550000000000003</v>
      </c>
      <c r="D96" s="903">
        <v>0.73109999999999997</v>
      </c>
      <c r="E96" s="903">
        <v>0.73109999999999997</v>
      </c>
      <c r="F96" s="903">
        <v>0.73109999999999997</v>
      </c>
      <c r="G96" s="903">
        <v>0.73109999999999997</v>
      </c>
      <c r="H96" s="903">
        <v>0.73109999999999997</v>
      </c>
      <c r="I96" s="903">
        <v>0.54369999999999996</v>
      </c>
      <c r="J96" s="903">
        <v>0.54369999999999996</v>
      </c>
      <c r="K96" s="903">
        <v>0.54369999999999996</v>
      </c>
      <c r="L96" s="903">
        <v>0.54369999999999996</v>
      </c>
      <c r="M96" s="903">
        <v>0.54369999999999996</v>
      </c>
    </row>
    <row r="97" spans="1:14">
      <c r="A97" s="911">
        <v>9.5</v>
      </c>
      <c r="B97" s="903">
        <v>0.84450000000000003</v>
      </c>
      <c r="C97" s="903">
        <v>0.84450000000000003</v>
      </c>
      <c r="D97" s="903">
        <v>0.72989999999999999</v>
      </c>
      <c r="E97" s="903">
        <v>0.72989999999999999</v>
      </c>
      <c r="F97" s="903">
        <v>0.72989999999999999</v>
      </c>
      <c r="G97" s="903">
        <v>0.72989999999999999</v>
      </c>
      <c r="H97" s="903">
        <v>0.72989999999999999</v>
      </c>
      <c r="I97" s="903">
        <v>0.54200000000000004</v>
      </c>
      <c r="J97" s="903">
        <v>0.54200000000000004</v>
      </c>
      <c r="K97" s="903">
        <v>0.54200000000000004</v>
      </c>
      <c r="L97" s="903">
        <v>0.54200000000000004</v>
      </c>
      <c r="M97" s="903">
        <v>0.54200000000000004</v>
      </c>
    </row>
    <row r="98" spans="1:14">
      <c r="A98" s="911">
        <v>9.6</v>
      </c>
      <c r="B98" s="903">
        <v>0.84340000000000004</v>
      </c>
      <c r="C98" s="903">
        <v>0.84340000000000004</v>
      </c>
      <c r="D98" s="903">
        <v>0.72870000000000001</v>
      </c>
      <c r="E98" s="903">
        <v>0.72870000000000001</v>
      </c>
      <c r="F98" s="903">
        <v>0.72870000000000001</v>
      </c>
      <c r="G98" s="903">
        <v>0.72870000000000001</v>
      </c>
      <c r="H98" s="903">
        <v>0.72870000000000001</v>
      </c>
      <c r="I98" s="903">
        <v>0.5403</v>
      </c>
      <c r="J98" s="903">
        <v>0.5403</v>
      </c>
      <c r="K98" s="903">
        <v>0.5403</v>
      </c>
      <c r="L98" s="903">
        <v>0.5403</v>
      </c>
      <c r="M98" s="903">
        <v>0.5403</v>
      </c>
    </row>
    <row r="99" spans="1:14">
      <c r="A99" s="911">
        <v>9.6999999999999993</v>
      </c>
      <c r="B99" s="903">
        <v>0.84230000000000005</v>
      </c>
      <c r="C99" s="903">
        <v>0.84230000000000005</v>
      </c>
      <c r="D99" s="903">
        <v>0.72750000000000004</v>
      </c>
      <c r="E99" s="903">
        <v>0.72750000000000004</v>
      </c>
      <c r="F99" s="903">
        <v>0.72750000000000004</v>
      </c>
      <c r="G99" s="903">
        <v>0.72750000000000004</v>
      </c>
      <c r="H99" s="903">
        <v>0.72750000000000004</v>
      </c>
      <c r="I99" s="903">
        <v>0.53859999999999997</v>
      </c>
      <c r="J99" s="903">
        <v>0.53859999999999997</v>
      </c>
      <c r="K99" s="903">
        <v>0.53859999999999997</v>
      </c>
      <c r="L99" s="903">
        <v>0.53859999999999997</v>
      </c>
      <c r="M99" s="903">
        <v>0.53859999999999997</v>
      </c>
    </row>
    <row r="100" spans="1:14">
      <c r="A100" s="911">
        <v>9.8000000000000007</v>
      </c>
      <c r="B100" s="903">
        <v>0.84140000000000004</v>
      </c>
      <c r="C100" s="903">
        <v>0.84140000000000004</v>
      </c>
      <c r="D100" s="903">
        <v>0.72629999999999995</v>
      </c>
      <c r="E100" s="903">
        <v>0.72629999999999995</v>
      </c>
      <c r="F100" s="903">
        <v>0.72629999999999995</v>
      </c>
      <c r="G100" s="903">
        <v>0.72629999999999995</v>
      </c>
      <c r="H100" s="903">
        <v>0.72629999999999995</v>
      </c>
      <c r="I100" s="903">
        <v>0.53710000000000002</v>
      </c>
      <c r="J100" s="903">
        <v>0.53710000000000002</v>
      </c>
      <c r="K100" s="903">
        <v>0.53710000000000002</v>
      </c>
      <c r="L100" s="903">
        <v>0.53710000000000002</v>
      </c>
      <c r="M100" s="903">
        <v>0.53710000000000002</v>
      </c>
    </row>
    <row r="101" spans="1:14">
      <c r="A101" s="911">
        <v>9.9</v>
      </c>
      <c r="B101" s="903">
        <v>0.84050000000000002</v>
      </c>
      <c r="C101" s="903">
        <v>0.84050000000000002</v>
      </c>
      <c r="D101" s="903">
        <v>0.72519999999999996</v>
      </c>
      <c r="E101" s="903">
        <v>0.72519999999999996</v>
      </c>
      <c r="F101" s="903">
        <v>0.72519999999999996</v>
      </c>
      <c r="G101" s="903">
        <v>0.72519999999999996</v>
      </c>
      <c r="H101" s="903">
        <v>0.72519999999999996</v>
      </c>
      <c r="I101" s="903">
        <v>0.53549999999999998</v>
      </c>
      <c r="J101" s="903">
        <v>0.53549999999999998</v>
      </c>
      <c r="K101" s="903">
        <v>0.53549999999999998</v>
      </c>
      <c r="L101" s="903">
        <v>0.53549999999999998</v>
      </c>
      <c r="M101" s="903">
        <v>0.53549999999999998</v>
      </c>
    </row>
    <row r="102" spans="1:14">
      <c r="A102" s="911">
        <v>10</v>
      </c>
      <c r="B102" s="903">
        <v>0.83950000000000002</v>
      </c>
      <c r="C102" s="903">
        <v>0.83950000000000002</v>
      </c>
      <c r="D102" s="903">
        <v>0.72409999999999997</v>
      </c>
      <c r="E102" s="903">
        <v>0.72409999999999997</v>
      </c>
      <c r="F102" s="903">
        <v>0.72409999999999997</v>
      </c>
      <c r="G102" s="903">
        <v>0.72409999999999997</v>
      </c>
      <c r="H102" s="903">
        <v>0.72409999999999997</v>
      </c>
      <c r="I102" s="903">
        <v>0.53400000000000003</v>
      </c>
      <c r="J102" s="903">
        <v>0.53400000000000003</v>
      </c>
      <c r="K102" s="903">
        <v>0.53400000000000003</v>
      </c>
      <c r="L102" s="903">
        <v>0.53400000000000003</v>
      </c>
      <c r="M102" s="903">
        <v>0.53400000000000003</v>
      </c>
    </row>
    <row r="103" spans="1:14" ht="14.25">
      <c r="A103" s="893" t="s">
        <v>748</v>
      </c>
      <c r="B103" s="894"/>
      <c r="C103" s="894"/>
      <c r="D103" s="894"/>
      <c r="E103" s="894"/>
      <c r="F103" s="894"/>
      <c r="G103" s="894"/>
      <c r="H103" s="894"/>
      <c r="I103" s="894"/>
      <c r="J103" s="894"/>
      <c r="K103" s="894"/>
      <c r="L103" s="894"/>
      <c r="M103" s="894"/>
      <c r="N103" s="894"/>
    </row>
    <row r="104" spans="1:14" ht="14.25">
      <c r="A104" s="896" t="s">
        <v>746</v>
      </c>
      <c r="B104" s="897" t="s">
        <v>157</v>
      </c>
      <c r="C104" s="897" t="s">
        <v>158</v>
      </c>
      <c r="D104" s="897" t="s">
        <v>159</v>
      </c>
      <c r="E104" s="897" t="s">
        <v>160</v>
      </c>
      <c r="F104" s="897" t="s">
        <v>161</v>
      </c>
      <c r="G104" s="897" t="s">
        <v>162</v>
      </c>
      <c r="H104" s="898" t="s">
        <v>163</v>
      </c>
      <c r="I104" s="898" t="s">
        <v>164</v>
      </c>
      <c r="J104" s="899" t="s">
        <v>165</v>
      </c>
      <c r="K104" s="899" t="s">
        <v>166</v>
      </c>
      <c r="L104" s="899" t="s">
        <v>167</v>
      </c>
      <c r="M104" s="899" t="s">
        <v>168</v>
      </c>
      <c r="N104" s="894">
        <f>SUMPRODUCT((A105:A204=ROUNDDOWN(基准地价修正!G3,1))*(B104:M104=基准地价修正!G2)*(B105:M204))</f>
        <v>1.1861999999999999</v>
      </c>
    </row>
    <row r="105" spans="1:14">
      <c r="A105" s="896">
        <v>0.1</v>
      </c>
      <c r="B105" s="903">
        <v>13.733000000000001</v>
      </c>
      <c r="C105" s="903">
        <v>13.733000000000001</v>
      </c>
      <c r="D105" s="903">
        <v>12.787000000000001</v>
      </c>
      <c r="E105" s="903">
        <v>12.787000000000001</v>
      </c>
      <c r="F105" s="903">
        <v>12.787000000000001</v>
      </c>
      <c r="G105" s="903">
        <v>12.787000000000001</v>
      </c>
      <c r="H105" s="903">
        <v>12.787000000000001</v>
      </c>
      <c r="I105" s="903">
        <v>12.384</v>
      </c>
      <c r="J105" s="903">
        <v>12.384</v>
      </c>
      <c r="K105" s="903">
        <v>12.384</v>
      </c>
      <c r="L105" s="903">
        <v>12.384</v>
      </c>
      <c r="M105" s="903">
        <v>12.384</v>
      </c>
    </row>
    <row r="106" spans="1:14">
      <c r="A106" s="896">
        <v>0.2</v>
      </c>
      <c r="B106" s="903">
        <v>6.8665000000000003</v>
      </c>
      <c r="C106" s="903">
        <v>6.8665000000000003</v>
      </c>
      <c r="D106" s="903">
        <v>6.3935000000000004</v>
      </c>
      <c r="E106" s="903">
        <v>6.3935000000000004</v>
      </c>
      <c r="F106" s="903">
        <v>6.3935000000000004</v>
      </c>
      <c r="G106" s="903">
        <v>6.3935000000000004</v>
      </c>
      <c r="H106" s="903">
        <v>6.3935000000000004</v>
      </c>
      <c r="I106" s="903">
        <v>6.1920000000000002</v>
      </c>
      <c r="J106" s="903">
        <v>6.1920000000000002</v>
      </c>
      <c r="K106" s="903">
        <v>6.1920000000000002</v>
      </c>
      <c r="L106" s="903">
        <v>6.1920000000000002</v>
      </c>
      <c r="M106" s="903">
        <v>6.1920000000000002</v>
      </c>
    </row>
    <row r="107" spans="1:14">
      <c r="A107" s="896">
        <v>0.3</v>
      </c>
      <c r="B107" s="903">
        <v>4.5777000000000001</v>
      </c>
      <c r="C107" s="903">
        <v>4.5777000000000001</v>
      </c>
      <c r="D107" s="903">
        <v>4.2622999999999998</v>
      </c>
      <c r="E107" s="903">
        <v>4.2622999999999998</v>
      </c>
      <c r="F107" s="903">
        <v>4.2622999999999998</v>
      </c>
      <c r="G107" s="903">
        <v>4.2622999999999998</v>
      </c>
      <c r="H107" s="903">
        <v>4.2622999999999998</v>
      </c>
      <c r="I107" s="903">
        <v>4.1280000000000001</v>
      </c>
      <c r="J107" s="903">
        <v>4.1280000000000001</v>
      </c>
      <c r="K107" s="903">
        <v>4.1280000000000001</v>
      </c>
      <c r="L107" s="903">
        <v>4.1280000000000001</v>
      </c>
      <c r="M107" s="903">
        <v>4.1280000000000001</v>
      </c>
    </row>
    <row r="108" spans="1:14">
      <c r="A108" s="896">
        <v>0.4</v>
      </c>
      <c r="B108" s="903">
        <v>3.4333</v>
      </c>
      <c r="C108" s="903">
        <v>3.4333</v>
      </c>
      <c r="D108" s="903">
        <v>3.1968000000000001</v>
      </c>
      <c r="E108" s="903">
        <v>3.1968000000000001</v>
      </c>
      <c r="F108" s="903">
        <v>3.1968000000000001</v>
      </c>
      <c r="G108" s="903">
        <v>3.1968000000000001</v>
      </c>
      <c r="H108" s="903">
        <v>3.1968000000000001</v>
      </c>
      <c r="I108" s="903">
        <v>3.0960000000000001</v>
      </c>
      <c r="J108" s="903">
        <v>3.0960000000000001</v>
      </c>
      <c r="K108" s="903">
        <v>3.0960000000000001</v>
      </c>
      <c r="L108" s="903">
        <v>3.0960000000000001</v>
      </c>
      <c r="M108" s="903">
        <v>3.0960000000000001</v>
      </c>
    </row>
    <row r="109" spans="1:14">
      <c r="A109" s="896">
        <v>0.5</v>
      </c>
      <c r="B109" s="903">
        <v>2.7465999999999999</v>
      </c>
      <c r="C109" s="903">
        <v>2.7465999999999999</v>
      </c>
      <c r="D109" s="903">
        <v>2.5573999999999999</v>
      </c>
      <c r="E109" s="903">
        <v>2.5573999999999999</v>
      </c>
      <c r="F109" s="903">
        <v>2.5573999999999999</v>
      </c>
      <c r="G109" s="903">
        <v>2.5573999999999999</v>
      </c>
      <c r="H109" s="903">
        <v>2.5573999999999999</v>
      </c>
      <c r="I109" s="903">
        <v>2.4767999999999999</v>
      </c>
      <c r="J109" s="903">
        <v>2.4767999999999999</v>
      </c>
      <c r="K109" s="903">
        <v>2.4767999999999999</v>
      </c>
      <c r="L109" s="903">
        <v>2.4767999999999999</v>
      </c>
      <c r="M109" s="903">
        <v>2.4767999999999999</v>
      </c>
    </row>
    <row r="110" spans="1:14">
      <c r="A110" s="896">
        <v>0.6</v>
      </c>
      <c r="B110" s="903">
        <v>2.2888000000000002</v>
      </c>
      <c r="C110" s="903">
        <v>2.2888000000000002</v>
      </c>
      <c r="D110" s="903">
        <v>2.1312000000000002</v>
      </c>
      <c r="E110" s="903">
        <v>2.1312000000000002</v>
      </c>
      <c r="F110" s="903">
        <v>2.1312000000000002</v>
      </c>
      <c r="G110" s="903">
        <v>2.1312000000000002</v>
      </c>
      <c r="H110" s="903">
        <v>2.1312000000000002</v>
      </c>
      <c r="I110" s="903">
        <v>2.0640000000000001</v>
      </c>
      <c r="J110" s="903">
        <v>2.0640000000000001</v>
      </c>
      <c r="K110" s="903">
        <v>2.0640000000000001</v>
      </c>
      <c r="L110" s="903">
        <v>2.0640000000000001</v>
      </c>
      <c r="M110" s="903">
        <v>2.0640000000000001</v>
      </c>
    </row>
    <row r="111" spans="1:14">
      <c r="A111" s="896">
        <v>0.7</v>
      </c>
      <c r="B111" s="903">
        <v>1.9619</v>
      </c>
      <c r="C111" s="903">
        <v>1.9619</v>
      </c>
      <c r="D111" s="903">
        <v>1.8267</v>
      </c>
      <c r="E111" s="903">
        <v>1.8267</v>
      </c>
      <c r="F111" s="903">
        <v>1.8267</v>
      </c>
      <c r="G111" s="903">
        <v>1.8267</v>
      </c>
      <c r="H111" s="903">
        <v>1.8267</v>
      </c>
      <c r="I111" s="903">
        <v>1.7690999999999999</v>
      </c>
      <c r="J111" s="903">
        <v>1.7690999999999999</v>
      </c>
      <c r="K111" s="903">
        <v>1.7690999999999999</v>
      </c>
      <c r="L111" s="903">
        <v>1.7690999999999999</v>
      </c>
      <c r="M111" s="903">
        <v>1.7690999999999999</v>
      </c>
    </row>
    <row r="112" spans="1:14">
      <c r="A112" s="896">
        <v>0.8</v>
      </c>
      <c r="B112" s="903">
        <v>1.7165999999999999</v>
      </c>
      <c r="C112" s="903">
        <v>1.7165999999999999</v>
      </c>
      <c r="D112" s="903">
        <v>1.5984</v>
      </c>
      <c r="E112" s="903">
        <v>1.5984</v>
      </c>
      <c r="F112" s="903">
        <v>1.5984</v>
      </c>
      <c r="G112" s="903">
        <v>1.5984</v>
      </c>
      <c r="H112" s="903">
        <v>1.5984</v>
      </c>
      <c r="I112" s="903">
        <v>1.548</v>
      </c>
      <c r="J112" s="903">
        <v>1.548</v>
      </c>
      <c r="K112" s="903">
        <v>1.548</v>
      </c>
      <c r="L112" s="903">
        <v>1.548</v>
      </c>
      <c r="M112" s="903">
        <v>1.548</v>
      </c>
    </row>
    <row r="113" spans="1:13">
      <c r="A113" s="896">
        <v>0.9</v>
      </c>
      <c r="B113" s="903">
        <v>1.5259</v>
      </c>
      <c r="C113" s="903">
        <v>1.5259</v>
      </c>
      <c r="D113" s="903">
        <v>1.4208000000000001</v>
      </c>
      <c r="E113" s="903">
        <v>1.4208000000000001</v>
      </c>
      <c r="F113" s="903">
        <v>1.4208000000000001</v>
      </c>
      <c r="G113" s="903">
        <v>1.4208000000000001</v>
      </c>
      <c r="H113" s="903">
        <v>1.4208000000000001</v>
      </c>
      <c r="I113" s="903">
        <v>1.3759999999999999</v>
      </c>
      <c r="J113" s="903">
        <v>1.3759999999999999</v>
      </c>
      <c r="K113" s="903">
        <v>1.3759999999999999</v>
      </c>
      <c r="L113" s="903">
        <v>1.3759999999999999</v>
      </c>
      <c r="M113" s="903">
        <v>1.3759999999999999</v>
      </c>
    </row>
    <row r="114" spans="1:13">
      <c r="A114" s="896">
        <v>1</v>
      </c>
      <c r="B114" s="903">
        <v>1.3733</v>
      </c>
      <c r="C114" s="903">
        <v>1.3733</v>
      </c>
      <c r="D114" s="903">
        <v>1.2786999999999999</v>
      </c>
      <c r="E114" s="903">
        <v>1.2786999999999999</v>
      </c>
      <c r="F114" s="903">
        <v>1.2786999999999999</v>
      </c>
      <c r="G114" s="903">
        <v>1.2786999999999999</v>
      </c>
      <c r="H114" s="903">
        <v>1.2786999999999999</v>
      </c>
      <c r="I114" s="903">
        <v>1.2383999999999999</v>
      </c>
      <c r="J114" s="903">
        <v>1.2383999999999999</v>
      </c>
      <c r="K114" s="903">
        <v>1.2383999999999999</v>
      </c>
      <c r="L114" s="903">
        <v>1.2383999999999999</v>
      </c>
      <c r="M114" s="903">
        <v>1.2383999999999999</v>
      </c>
    </row>
    <row r="115" spans="1:13">
      <c r="A115" s="896">
        <v>1.1000000000000001</v>
      </c>
      <c r="B115" s="903">
        <v>1.3489</v>
      </c>
      <c r="C115" s="903">
        <v>1.3489</v>
      </c>
      <c r="D115" s="903">
        <v>1.2542</v>
      </c>
      <c r="E115" s="903">
        <v>1.2542</v>
      </c>
      <c r="F115" s="903">
        <v>1.2542</v>
      </c>
      <c r="G115" s="903">
        <v>1.2542</v>
      </c>
      <c r="H115" s="903">
        <v>1.2542</v>
      </c>
      <c r="I115" s="903">
        <v>1.2050000000000001</v>
      </c>
      <c r="J115" s="903">
        <v>1.2050000000000001</v>
      </c>
      <c r="K115" s="903">
        <v>1.2050000000000001</v>
      </c>
      <c r="L115" s="903">
        <v>1.2050000000000001</v>
      </c>
      <c r="M115" s="903">
        <v>1.2050000000000001</v>
      </c>
    </row>
    <row r="116" spans="1:13">
      <c r="A116" s="896">
        <v>1.2</v>
      </c>
      <c r="B116" s="903">
        <v>1.3255999999999999</v>
      </c>
      <c r="C116" s="903">
        <v>1.3255999999999999</v>
      </c>
      <c r="D116" s="903">
        <v>1.2305999999999999</v>
      </c>
      <c r="E116" s="903">
        <v>1.2305999999999999</v>
      </c>
      <c r="F116" s="903">
        <v>1.2305999999999999</v>
      </c>
      <c r="G116" s="903">
        <v>1.2305999999999999</v>
      </c>
      <c r="H116" s="903">
        <v>1.2305999999999999</v>
      </c>
      <c r="I116" s="903">
        <v>1.1741999999999999</v>
      </c>
      <c r="J116" s="903">
        <v>1.1741999999999999</v>
      </c>
      <c r="K116" s="903">
        <v>1.1741999999999999</v>
      </c>
      <c r="L116" s="903">
        <v>1.1741999999999999</v>
      </c>
      <c r="M116" s="903">
        <v>1.1741999999999999</v>
      </c>
    </row>
    <row r="117" spans="1:13">
      <c r="A117" s="896">
        <v>1.3</v>
      </c>
      <c r="B117" s="903">
        <v>1.3032999999999999</v>
      </c>
      <c r="C117" s="903">
        <v>1.3032999999999999</v>
      </c>
      <c r="D117" s="903">
        <v>1.2079</v>
      </c>
      <c r="E117" s="903">
        <v>1.2079</v>
      </c>
      <c r="F117" s="903">
        <v>1.2079</v>
      </c>
      <c r="G117" s="903">
        <v>1.2079</v>
      </c>
      <c r="H117" s="903">
        <v>1.2079</v>
      </c>
      <c r="I117" s="903">
        <v>1.1459999999999999</v>
      </c>
      <c r="J117" s="903">
        <v>1.1459999999999999</v>
      </c>
      <c r="K117" s="903">
        <v>1.1459999999999999</v>
      </c>
      <c r="L117" s="903">
        <v>1.1459999999999999</v>
      </c>
      <c r="M117" s="903">
        <v>1.1459999999999999</v>
      </c>
    </row>
    <row r="118" spans="1:13">
      <c r="A118" s="896">
        <v>1.4</v>
      </c>
      <c r="B118" s="903">
        <v>1.282</v>
      </c>
      <c r="C118" s="903">
        <v>1.282</v>
      </c>
      <c r="D118" s="903">
        <v>1.1861999999999999</v>
      </c>
      <c r="E118" s="903">
        <v>1.1861999999999999</v>
      </c>
      <c r="F118" s="903">
        <v>1.1861999999999999</v>
      </c>
      <c r="G118" s="903">
        <v>1.1861999999999999</v>
      </c>
      <c r="H118" s="903">
        <v>1.1861999999999999</v>
      </c>
      <c r="I118" s="903">
        <v>1.1200000000000001</v>
      </c>
      <c r="J118" s="903">
        <v>1.1200000000000001</v>
      </c>
      <c r="K118" s="903">
        <v>1.1200000000000001</v>
      </c>
      <c r="L118" s="903">
        <v>1.1200000000000001</v>
      </c>
      <c r="M118" s="903">
        <v>1.1200000000000001</v>
      </c>
    </row>
    <row r="119" spans="1:13">
      <c r="A119" s="896">
        <v>1.5</v>
      </c>
      <c r="B119" s="903">
        <v>1.2617</v>
      </c>
      <c r="C119" s="903">
        <v>1.2617</v>
      </c>
      <c r="D119" s="903">
        <v>1.1653</v>
      </c>
      <c r="E119" s="903">
        <v>1.1653</v>
      </c>
      <c r="F119" s="903">
        <v>1.1653</v>
      </c>
      <c r="G119" s="903">
        <v>1.1653</v>
      </c>
      <c r="H119" s="903">
        <v>1.1653</v>
      </c>
      <c r="I119" s="903">
        <v>1.0961000000000001</v>
      </c>
      <c r="J119" s="903">
        <v>1.0961000000000001</v>
      </c>
      <c r="K119" s="903">
        <v>1.0961000000000001</v>
      </c>
      <c r="L119" s="903">
        <v>1.0961000000000001</v>
      </c>
      <c r="M119" s="903">
        <v>1.0961000000000001</v>
      </c>
    </row>
    <row r="120" spans="1:13">
      <c r="A120" s="896">
        <v>1.6</v>
      </c>
      <c r="B120" s="903">
        <v>1.2423</v>
      </c>
      <c r="C120" s="903">
        <v>1.2423</v>
      </c>
      <c r="D120" s="903">
        <v>1.1453</v>
      </c>
      <c r="E120" s="903">
        <v>1.1453</v>
      </c>
      <c r="F120" s="903">
        <v>1.1453</v>
      </c>
      <c r="G120" s="903">
        <v>1.1453</v>
      </c>
      <c r="H120" s="903">
        <v>1.1453</v>
      </c>
      <c r="I120" s="903">
        <v>1.0740000000000001</v>
      </c>
      <c r="J120" s="903">
        <v>1.0740000000000001</v>
      </c>
      <c r="K120" s="903">
        <v>1.0740000000000001</v>
      </c>
      <c r="L120" s="903">
        <v>1.0740000000000001</v>
      </c>
      <c r="M120" s="903">
        <v>1.0740000000000001</v>
      </c>
    </row>
    <row r="121" spans="1:13">
      <c r="A121" s="896">
        <v>1.7</v>
      </c>
      <c r="B121" s="903">
        <v>1.2237</v>
      </c>
      <c r="C121" s="903">
        <v>1.2237</v>
      </c>
      <c r="D121" s="903">
        <v>1.1261000000000001</v>
      </c>
      <c r="E121" s="903">
        <v>1.1261000000000001</v>
      </c>
      <c r="F121" s="903">
        <v>1.1261000000000001</v>
      </c>
      <c r="G121" s="903">
        <v>1.1261000000000001</v>
      </c>
      <c r="H121" s="903">
        <v>1.1261000000000001</v>
      </c>
      <c r="I121" s="903">
        <v>1.0535000000000001</v>
      </c>
      <c r="J121" s="903">
        <v>1.0535000000000001</v>
      </c>
      <c r="K121" s="903">
        <v>1.0535000000000001</v>
      </c>
      <c r="L121" s="903">
        <v>1.0535000000000001</v>
      </c>
      <c r="M121" s="903">
        <v>1.0535000000000001</v>
      </c>
    </row>
    <row r="122" spans="1:13">
      <c r="A122" s="896">
        <v>1.8</v>
      </c>
      <c r="B122" s="903">
        <v>1.206</v>
      </c>
      <c r="C122" s="903">
        <v>1.206</v>
      </c>
      <c r="D122" s="903">
        <v>1.1076999999999999</v>
      </c>
      <c r="E122" s="903">
        <v>1.1076999999999999</v>
      </c>
      <c r="F122" s="903">
        <v>1.1076999999999999</v>
      </c>
      <c r="G122" s="903">
        <v>1.1076999999999999</v>
      </c>
      <c r="H122" s="903">
        <v>1.1076999999999999</v>
      </c>
      <c r="I122" s="903">
        <v>1.0345</v>
      </c>
      <c r="J122" s="903">
        <v>1.0345</v>
      </c>
      <c r="K122" s="903">
        <v>1.0345</v>
      </c>
      <c r="L122" s="903">
        <v>1.0345</v>
      </c>
      <c r="M122" s="903">
        <v>1.0345</v>
      </c>
    </row>
    <row r="123" spans="1:13">
      <c r="A123" s="896">
        <v>1.9</v>
      </c>
      <c r="B123" s="903">
        <v>1.1891</v>
      </c>
      <c r="C123" s="903">
        <v>1.1891</v>
      </c>
      <c r="D123" s="903">
        <v>1.0901000000000001</v>
      </c>
      <c r="E123" s="903">
        <v>1.0901000000000001</v>
      </c>
      <c r="F123" s="903">
        <v>1.0901000000000001</v>
      </c>
      <c r="G123" s="903">
        <v>1.0901000000000001</v>
      </c>
      <c r="H123" s="903">
        <v>1.0901000000000001</v>
      </c>
      <c r="I123" s="903">
        <v>1.0166999999999999</v>
      </c>
      <c r="J123" s="903">
        <v>1.0166999999999999</v>
      </c>
      <c r="K123" s="903">
        <v>1.0166999999999999</v>
      </c>
      <c r="L123" s="903">
        <v>1.0166999999999999</v>
      </c>
      <c r="M123" s="903">
        <v>1.0166999999999999</v>
      </c>
    </row>
    <row r="124" spans="1:13">
      <c r="A124" s="896">
        <v>2</v>
      </c>
      <c r="B124" s="903">
        <v>1.1729000000000001</v>
      </c>
      <c r="C124" s="903">
        <v>1.1729000000000001</v>
      </c>
      <c r="D124" s="903">
        <v>1.0732999999999999</v>
      </c>
      <c r="E124" s="903">
        <v>1.0732999999999999</v>
      </c>
      <c r="F124" s="903">
        <v>1.0732999999999999</v>
      </c>
      <c r="G124" s="903">
        <v>1.0732999999999999</v>
      </c>
      <c r="H124" s="903">
        <v>1.0732999999999999</v>
      </c>
      <c r="I124" s="903">
        <v>1</v>
      </c>
      <c r="J124" s="903">
        <v>1</v>
      </c>
      <c r="K124" s="903">
        <v>1</v>
      </c>
      <c r="L124" s="903">
        <v>1</v>
      </c>
      <c r="M124" s="903">
        <v>1</v>
      </c>
    </row>
    <row r="125" spans="1:13">
      <c r="A125" s="911">
        <v>2.1</v>
      </c>
      <c r="B125" s="903">
        <v>1.1574</v>
      </c>
      <c r="C125" s="903">
        <v>1.1574</v>
      </c>
      <c r="D125" s="903">
        <v>1.0571999999999999</v>
      </c>
      <c r="E125" s="903">
        <v>1.0571999999999999</v>
      </c>
      <c r="F125" s="903">
        <v>1.0571999999999999</v>
      </c>
      <c r="G125" s="903">
        <v>1.0571999999999999</v>
      </c>
      <c r="H125" s="903">
        <v>1.0571999999999999</v>
      </c>
      <c r="I125" s="903">
        <v>0.98409999999999997</v>
      </c>
      <c r="J125" s="903">
        <v>0.98409999999999997</v>
      </c>
      <c r="K125" s="903">
        <v>0.98409999999999997</v>
      </c>
      <c r="L125" s="903">
        <v>0.98409999999999997</v>
      </c>
      <c r="M125" s="903">
        <v>0.98409999999999997</v>
      </c>
    </row>
    <row r="126" spans="1:13">
      <c r="A126" s="911">
        <v>2.2000000000000002</v>
      </c>
      <c r="B126" s="903">
        <v>1.1426000000000001</v>
      </c>
      <c r="C126" s="903">
        <v>1.1426000000000001</v>
      </c>
      <c r="D126" s="903">
        <v>1.0419</v>
      </c>
      <c r="E126" s="903">
        <v>1.0419</v>
      </c>
      <c r="F126" s="903">
        <v>1.0419</v>
      </c>
      <c r="G126" s="903">
        <v>1.0419</v>
      </c>
      <c r="H126" s="903">
        <v>1.0419</v>
      </c>
      <c r="I126" s="903">
        <v>0.96889999999999998</v>
      </c>
      <c r="J126" s="903">
        <v>0.96889999999999998</v>
      </c>
      <c r="K126" s="903">
        <v>0.96889999999999998</v>
      </c>
      <c r="L126" s="903">
        <v>0.96889999999999998</v>
      </c>
      <c r="M126" s="903">
        <v>0.96889999999999998</v>
      </c>
    </row>
    <row r="127" spans="1:13">
      <c r="A127" s="911">
        <v>2.2999999999999998</v>
      </c>
      <c r="B127" s="903">
        <v>1.1285000000000001</v>
      </c>
      <c r="C127" s="903">
        <v>1.1285000000000001</v>
      </c>
      <c r="D127" s="903">
        <v>1.0271999999999999</v>
      </c>
      <c r="E127" s="903">
        <v>1.0271999999999999</v>
      </c>
      <c r="F127" s="903">
        <v>1.0271999999999999</v>
      </c>
      <c r="G127" s="903">
        <v>1.0271999999999999</v>
      </c>
      <c r="H127" s="903">
        <v>1.0271999999999999</v>
      </c>
      <c r="I127" s="903">
        <v>0.95440000000000003</v>
      </c>
      <c r="J127" s="903">
        <v>0.95440000000000003</v>
      </c>
      <c r="K127" s="903">
        <v>0.95440000000000003</v>
      </c>
      <c r="L127" s="903">
        <v>0.95440000000000003</v>
      </c>
      <c r="M127" s="903">
        <v>0.95440000000000003</v>
      </c>
    </row>
    <row r="128" spans="1:13">
      <c r="A128" s="911">
        <v>2.4</v>
      </c>
      <c r="B128" s="903">
        <v>1.1149</v>
      </c>
      <c r="C128" s="903">
        <v>1.1149</v>
      </c>
      <c r="D128" s="903">
        <v>1.0133000000000001</v>
      </c>
      <c r="E128" s="903">
        <v>1.0133000000000001</v>
      </c>
      <c r="F128" s="903">
        <v>1.0133000000000001</v>
      </c>
      <c r="G128" s="903">
        <v>1.0133000000000001</v>
      </c>
      <c r="H128" s="903">
        <v>1.0133000000000001</v>
      </c>
      <c r="I128" s="903">
        <v>0.9405</v>
      </c>
      <c r="J128" s="903">
        <v>0.9405</v>
      </c>
      <c r="K128" s="903">
        <v>0.9405</v>
      </c>
      <c r="L128" s="903">
        <v>0.9405</v>
      </c>
      <c r="M128" s="903">
        <v>0.9405</v>
      </c>
    </row>
    <row r="129" spans="1:13">
      <c r="A129" s="911">
        <v>2.5</v>
      </c>
      <c r="B129" s="903">
        <v>1.1020000000000001</v>
      </c>
      <c r="C129" s="903">
        <v>1.1020000000000001</v>
      </c>
      <c r="D129" s="903">
        <v>1</v>
      </c>
      <c r="E129" s="903">
        <v>1</v>
      </c>
      <c r="F129" s="903">
        <v>1</v>
      </c>
      <c r="G129" s="903">
        <v>1</v>
      </c>
      <c r="H129" s="903">
        <v>1</v>
      </c>
      <c r="I129" s="903">
        <v>0.92730000000000001</v>
      </c>
      <c r="J129" s="903">
        <v>0.92730000000000001</v>
      </c>
      <c r="K129" s="903">
        <v>0.92730000000000001</v>
      </c>
      <c r="L129" s="903">
        <v>0.92730000000000001</v>
      </c>
      <c r="M129" s="903">
        <v>0.92730000000000001</v>
      </c>
    </row>
    <row r="130" spans="1:13">
      <c r="A130" s="911">
        <v>2.6</v>
      </c>
      <c r="B130" s="903">
        <v>1.0895999999999999</v>
      </c>
      <c r="C130" s="903">
        <v>1.0895999999999999</v>
      </c>
      <c r="D130" s="903">
        <v>0.98740000000000006</v>
      </c>
      <c r="E130" s="903">
        <v>0.98740000000000006</v>
      </c>
      <c r="F130" s="903">
        <v>0.98740000000000006</v>
      </c>
      <c r="G130" s="903">
        <v>0.98740000000000006</v>
      </c>
      <c r="H130" s="903">
        <v>0.98740000000000006</v>
      </c>
      <c r="I130" s="903">
        <v>0.91469999999999996</v>
      </c>
      <c r="J130" s="903">
        <v>0.91469999999999996</v>
      </c>
      <c r="K130" s="903">
        <v>0.91469999999999996</v>
      </c>
      <c r="L130" s="903">
        <v>0.91469999999999996</v>
      </c>
      <c r="M130" s="903">
        <v>0.91469999999999996</v>
      </c>
    </row>
    <row r="131" spans="1:13">
      <c r="A131" s="911">
        <v>2.7</v>
      </c>
      <c r="B131" s="903">
        <v>1.0778000000000001</v>
      </c>
      <c r="C131" s="903">
        <v>1.0778000000000001</v>
      </c>
      <c r="D131" s="903">
        <v>0.97540000000000004</v>
      </c>
      <c r="E131" s="903">
        <v>0.97540000000000004</v>
      </c>
      <c r="F131" s="903">
        <v>0.97540000000000004</v>
      </c>
      <c r="G131" s="903">
        <v>0.97540000000000004</v>
      </c>
      <c r="H131" s="903">
        <v>0.97540000000000004</v>
      </c>
      <c r="I131" s="903">
        <v>0.90269999999999995</v>
      </c>
      <c r="J131" s="903">
        <v>0.90269999999999995</v>
      </c>
      <c r="K131" s="903">
        <v>0.90269999999999995</v>
      </c>
      <c r="L131" s="903">
        <v>0.90269999999999995</v>
      </c>
      <c r="M131" s="903">
        <v>0.90269999999999995</v>
      </c>
    </row>
    <row r="132" spans="1:13">
      <c r="A132" s="911">
        <v>2.8</v>
      </c>
      <c r="B132" s="903">
        <v>1.0665</v>
      </c>
      <c r="C132" s="903">
        <v>1.0665</v>
      </c>
      <c r="D132" s="903">
        <v>0.96399999999999997</v>
      </c>
      <c r="E132" s="903">
        <v>0.96399999999999997</v>
      </c>
      <c r="F132" s="903">
        <v>0.96399999999999997</v>
      </c>
      <c r="G132" s="903">
        <v>0.96399999999999997</v>
      </c>
      <c r="H132" s="903">
        <v>0.96399999999999997</v>
      </c>
      <c r="I132" s="903">
        <v>0.89119999999999999</v>
      </c>
      <c r="J132" s="903">
        <v>0.89119999999999999</v>
      </c>
      <c r="K132" s="903">
        <v>0.89119999999999999</v>
      </c>
      <c r="L132" s="903">
        <v>0.89119999999999999</v>
      </c>
      <c r="M132" s="903">
        <v>0.89119999999999999</v>
      </c>
    </row>
    <row r="133" spans="1:13">
      <c r="A133" s="911">
        <v>2.9</v>
      </c>
      <c r="B133" s="903">
        <v>1.0556000000000001</v>
      </c>
      <c r="C133" s="903">
        <v>1.0556000000000001</v>
      </c>
      <c r="D133" s="903">
        <v>0.95330000000000004</v>
      </c>
      <c r="E133" s="903">
        <v>0.95330000000000004</v>
      </c>
      <c r="F133" s="903">
        <v>0.95330000000000004</v>
      </c>
      <c r="G133" s="903">
        <v>0.95330000000000004</v>
      </c>
      <c r="H133" s="903">
        <v>0.95330000000000004</v>
      </c>
      <c r="I133" s="903">
        <v>0.88019999999999998</v>
      </c>
      <c r="J133" s="903">
        <v>0.88019999999999998</v>
      </c>
      <c r="K133" s="903">
        <v>0.88019999999999998</v>
      </c>
      <c r="L133" s="903">
        <v>0.88019999999999998</v>
      </c>
      <c r="M133" s="903">
        <v>0.88019999999999998</v>
      </c>
    </row>
    <row r="134" spans="1:13">
      <c r="A134" s="911">
        <v>3</v>
      </c>
      <c r="B134" s="903">
        <v>1.0452999999999999</v>
      </c>
      <c r="C134" s="903">
        <v>1.0452999999999999</v>
      </c>
      <c r="D134" s="903">
        <v>0.94299999999999995</v>
      </c>
      <c r="E134" s="903">
        <v>0.94299999999999995</v>
      </c>
      <c r="F134" s="903">
        <v>0.94299999999999995</v>
      </c>
      <c r="G134" s="903">
        <v>0.94299999999999995</v>
      </c>
      <c r="H134" s="903">
        <v>0.94299999999999995</v>
      </c>
      <c r="I134" s="903">
        <v>0.86970000000000003</v>
      </c>
      <c r="J134" s="903">
        <v>0.86970000000000003</v>
      </c>
      <c r="K134" s="903">
        <v>0.86970000000000003</v>
      </c>
      <c r="L134" s="903">
        <v>0.86970000000000003</v>
      </c>
      <c r="M134" s="903">
        <v>0.86970000000000003</v>
      </c>
    </row>
    <row r="135" spans="1:13">
      <c r="A135" s="911">
        <v>3.1</v>
      </c>
      <c r="B135" s="903">
        <v>1.0354000000000001</v>
      </c>
      <c r="C135" s="903">
        <v>1.0354000000000001</v>
      </c>
      <c r="D135" s="903">
        <v>0.93330000000000002</v>
      </c>
      <c r="E135" s="903">
        <v>0.93330000000000002</v>
      </c>
      <c r="F135" s="903">
        <v>0.93330000000000002</v>
      </c>
      <c r="G135" s="903">
        <v>0.93330000000000002</v>
      </c>
      <c r="H135" s="903">
        <v>0.93330000000000002</v>
      </c>
      <c r="I135" s="903">
        <v>0.85970000000000002</v>
      </c>
      <c r="J135" s="903">
        <v>0.85970000000000002</v>
      </c>
      <c r="K135" s="903">
        <v>0.85970000000000002</v>
      </c>
      <c r="L135" s="903">
        <v>0.85970000000000002</v>
      </c>
      <c r="M135" s="903">
        <v>0.85970000000000002</v>
      </c>
    </row>
    <row r="136" spans="1:13">
      <c r="A136" s="911">
        <v>3.2</v>
      </c>
      <c r="B136" s="903">
        <v>1.0259</v>
      </c>
      <c r="C136" s="903">
        <v>1.0259</v>
      </c>
      <c r="D136" s="903">
        <v>0.92410000000000003</v>
      </c>
      <c r="E136" s="903">
        <v>0.92410000000000003</v>
      </c>
      <c r="F136" s="903">
        <v>0.92410000000000003</v>
      </c>
      <c r="G136" s="903">
        <v>0.92410000000000003</v>
      </c>
      <c r="H136" s="903">
        <v>0.92410000000000003</v>
      </c>
      <c r="I136" s="903">
        <v>0.85019999999999996</v>
      </c>
      <c r="J136" s="903">
        <v>0.85019999999999996</v>
      </c>
      <c r="K136" s="903">
        <v>0.85019999999999996</v>
      </c>
      <c r="L136" s="903">
        <v>0.85019999999999996</v>
      </c>
      <c r="M136" s="903">
        <v>0.85019999999999996</v>
      </c>
    </row>
    <row r="137" spans="1:13">
      <c r="A137" s="911">
        <v>3.3</v>
      </c>
      <c r="B137" s="903">
        <v>1.0168999999999999</v>
      </c>
      <c r="C137" s="903">
        <v>1.0168999999999999</v>
      </c>
      <c r="D137" s="903">
        <v>0.91539999999999999</v>
      </c>
      <c r="E137" s="903">
        <v>0.91539999999999999</v>
      </c>
      <c r="F137" s="903">
        <v>0.91539999999999999</v>
      </c>
      <c r="G137" s="903">
        <v>0.91539999999999999</v>
      </c>
      <c r="H137" s="903">
        <v>0.91539999999999999</v>
      </c>
      <c r="I137" s="903">
        <v>0.84109999999999996</v>
      </c>
      <c r="J137" s="903">
        <v>0.84109999999999996</v>
      </c>
      <c r="K137" s="903">
        <v>0.84109999999999996</v>
      </c>
      <c r="L137" s="903">
        <v>0.84109999999999996</v>
      </c>
      <c r="M137" s="903">
        <v>0.84109999999999996</v>
      </c>
    </row>
    <row r="138" spans="1:13">
      <c r="A138" s="911">
        <v>3.4</v>
      </c>
      <c r="B138" s="903">
        <v>1.0082</v>
      </c>
      <c r="C138" s="903">
        <v>1.0082</v>
      </c>
      <c r="D138" s="903">
        <v>0.90710000000000002</v>
      </c>
      <c r="E138" s="903">
        <v>0.90710000000000002</v>
      </c>
      <c r="F138" s="903">
        <v>0.90710000000000002</v>
      </c>
      <c r="G138" s="903">
        <v>0.90710000000000002</v>
      </c>
      <c r="H138" s="903">
        <v>0.90710000000000002</v>
      </c>
      <c r="I138" s="903">
        <v>0.83240000000000003</v>
      </c>
      <c r="J138" s="903">
        <v>0.83240000000000003</v>
      </c>
      <c r="K138" s="903">
        <v>0.83240000000000003</v>
      </c>
      <c r="L138" s="903">
        <v>0.83240000000000003</v>
      </c>
      <c r="M138" s="903">
        <v>0.83240000000000003</v>
      </c>
    </row>
    <row r="139" spans="1:13">
      <c r="A139" s="911">
        <v>3.5</v>
      </c>
      <c r="B139" s="903">
        <v>1</v>
      </c>
      <c r="C139" s="903">
        <v>1</v>
      </c>
      <c r="D139" s="903">
        <v>0.89929999999999999</v>
      </c>
      <c r="E139" s="903">
        <v>0.89929999999999999</v>
      </c>
      <c r="F139" s="903">
        <v>0.89929999999999999</v>
      </c>
      <c r="G139" s="903">
        <v>0.89929999999999999</v>
      </c>
      <c r="H139" s="903">
        <v>0.89929999999999999</v>
      </c>
      <c r="I139" s="903">
        <v>0.82410000000000005</v>
      </c>
      <c r="J139" s="903">
        <v>0.82410000000000005</v>
      </c>
      <c r="K139" s="903">
        <v>0.82410000000000005</v>
      </c>
      <c r="L139" s="903">
        <v>0.82410000000000005</v>
      </c>
      <c r="M139" s="903">
        <v>0.82410000000000005</v>
      </c>
    </row>
    <row r="140" spans="1:13">
      <c r="A140" s="911">
        <v>3.6</v>
      </c>
      <c r="B140" s="903">
        <v>0.99219999999999997</v>
      </c>
      <c r="C140" s="903">
        <v>0.99219999999999997</v>
      </c>
      <c r="D140" s="903">
        <v>0.89190000000000003</v>
      </c>
      <c r="E140" s="903">
        <v>0.89190000000000003</v>
      </c>
      <c r="F140" s="903">
        <v>0.89190000000000003</v>
      </c>
      <c r="G140" s="903">
        <v>0.89190000000000003</v>
      </c>
      <c r="H140" s="903">
        <v>0.89190000000000003</v>
      </c>
      <c r="I140" s="903">
        <v>0.81620000000000004</v>
      </c>
      <c r="J140" s="903">
        <v>0.81620000000000004</v>
      </c>
      <c r="K140" s="903">
        <v>0.81620000000000004</v>
      </c>
      <c r="L140" s="903">
        <v>0.81620000000000004</v>
      </c>
      <c r="M140" s="903">
        <v>0.81620000000000004</v>
      </c>
    </row>
    <row r="141" spans="1:13">
      <c r="A141" s="911">
        <v>3.7</v>
      </c>
      <c r="B141" s="903">
        <v>0.98480000000000001</v>
      </c>
      <c r="C141" s="903">
        <v>0.98480000000000001</v>
      </c>
      <c r="D141" s="903">
        <v>0.88480000000000003</v>
      </c>
      <c r="E141" s="903">
        <v>0.88480000000000003</v>
      </c>
      <c r="F141" s="903">
        <v>0.88480000000000003</v>
      </c>
      <c r="G141" s="903">
        <v>0.88480000000000003</v>
      </c>
      <c r="H141" s="903">
        <v>0.88480000000000003</v>
      </c>
      <c r="I141" s="903">
        <v>0.80869999999999997</v>
      </c>
      <c r="J141" s="903">
        <v>0.80869999999999997</v>
      </c>
      <c r="K141" s="903">
        <v>0.80869999999999997</v>
      </c>
      <c r="L141" s="903">
        <v>0.80869999999999997</v>
      </c>
      <c r="M141" s="903">
        <v>0.80869999999999997</v>
      </c>
    </row>
    <row r="142" spans="1:13">
      <c r="A142" s="911">
        <v>3.8</v>
      </c>
      <c r="B142" s="903">
        <v>0.9778</v>
      </c>
      <c r="C142" s="903">
        <v>0.9778</v>
      </c>
      <c r="D142" s="903">
        <v>0.87809999999999999</v>
      </c>
      <c r="E142" s="903">
        <v>0.87809999999999999</v>
      </c>
      <c r="F142" s="903">
        <v>0.87809999999999999</v>
      </c>
      <c r="G142" s="903">
        <v>0.87809999999999999</v>
      </c>
      <c r="H142" s="903">
        <v>0.87809999999999999</v>
      </c>
      <c r="I142" s="903">
        <v>0.80159999999999998</v>
      </c>
      <c r="J142" s="903">
        <v>0.80159999999999998</v>
      </c>
      <c r="K142" s="903">
        <v>0.80159999999999998</v>
      </c>
      <c r="L142" s="903">
        <v>0.80159999999999998</v>
      </c>
      <c r="M142" s="903">
        <v>0.80159999999999998</v>
      </c>
    </row>
    <row r="143" spans="1:13">
      <c r="A143" s="911">
        <v>3.9</v>
      </c>
      <c r="B143" s="903">
        <v>0.97119999999999995</v>
      </c>
      <c r="C143" s="903">
        <v>0.97119999999999995</v>
      </c>
      <c r="D143" s="903">
        <v>0.87180000000000002</v>
      </c>
      <c r="E143" s="903">
        <v>0.87180000000000002</v>
      </c>
      <c r="F143" s="903">
        <v>0.87180000000000002</v>
      </c>
      <c r="G143" s="903">
        <v>0.87180000000000002</v>
      </c>
      <c r="H143" s="903">
        <v>0.87180000000000002</v>
      </c>
      <c r="I143" s="903">
        <v>0.79479999999999995</v>
      </c>
      <c r="J143" s="903">
        <v>0.79479999999999995</v>
      </c>
      <c r="K143" s="903">
        <v>0.79479999999999995</v>
      </c>
      <c r="L143" s="903">
        <v>0.79479999999999995</v>
      </c>
      <c r="M143" s="903">
        <v>0.79479999999999995</v>
      </c>
    </row>
    <row r="144" spans="1:13">
      <c r="A144" s="911">
        <v>4</v>
      </c>
      <c r="B144" s="903">
        <v>0.96499999999999997</v>
      </c>
      <c r="C144" s="903">
        <v>0.96499999999999997</v>
      </c>
      <c r="D144" s="903">
        <v>0.86580000000000001</v>
      </c>
      <c r="E144" s="903">
        <v>0.86580000000000001</v>
      </c>
      <c r="F144" s="903">
        <v>0.86580000000000001</v>
      </c>
      <c r="G144" s="903">
        <v>0.86580000000000001</v>
      </c>
      <c r="H144" s="903">
        <v>0.86580000000000001</v>
      </c>
      <c r="I144" s="903">
        <v>0.7883</v>
      </c>
      <c r="J144" s="903">
        <v>0.7883</v>
      </c>
      <c r="K144" s="903">
        <v>0.7883</v>
      </c>
      <c r="L144" s="903">
        <v>0.7883</v>
      </c>
      <c r="M144" s="903">
        <v>0.7883</v>
      </c>
    </row>
    <row r="145" spans="1:13">
      <c r="A145" s="911">
        <v>4.0999999999999996</v>
      </c>
      <c r="B145" s="903">
        <v>0.95909999999999995</v>
      </c>
      <c r="C145" s="903">
        <v>0.95909999999999995</v>
      </c>
      <c r="D145" s="903">
        <v>0.86009999999999998</v>
      </c>
      <c r="E145" s="903">
        <v>0.86009999999999998</v>
      </c>
      <c r="F145" s="903">
        <v>0.86009999999999998</v>
      </c>
      <c r="G145" s="903">
        <v>0.86009999999999998</v>
      </c>
      <c r="H145" s="903">
        <v>0.86009999999999998</v>
      </c>
      <c r="I145" s="903">
        <v>0.78200000000000003</v>
      </c>
      <c r="J145" s="903">
        <v>0.78200000000000003</v>
      </c>
      <c r="K145" s="903">
        <v>0.78200000000000003</v>
      </c>
      <c r="L145" s="903">
        <v>0.78200000000000003</v>
      </c>
      <c r="M145" s="903">
        <v>0.78200000000000003</v>
      </c>
    </row>
    <row r="146" spans="1:13">
      <c r="A146" s="911">
        <v>4.2</v>
      </c>
      <c r="B146" s="903">
        <v>0.95350000000000001</v>
      </c>
      <c r="C146" s="903">
        <v>0.95350000000000001</v>
      </c>
      <c r="D146" s="903">
        <v>0.85470000000000002</v>
      </c>
      <c r="E146" s="903">
        <v>0.85470000000000002</v>
      </c>
      <c r="F146" s="903">
        <v>0.85470000000000002</v>
      </c>
      <c r="G146" s="903">
        <v>0.85470000000000002</v>
      </c>
      <c r="H146" s="903">
        <v>0.85470000000000002</v>
      </c>
      <c r="I146" s="903">
        <v>0.77600000000000002</v>
      </c>
      <c r="J146" s="903">
        <v>0.77600000000000002</v>
      </c>
      <c r="K146" s="903">
        <v>0.77600000000000002</v>
      </c>
      <c r="L146" s="903">
        <v>0.77600000000000002</v>
      </c>
      <c r="M146" s="903">
        <v>0.77600000000000002</v>
      </c>
    </row>
    <row r="147" spans="1:13">
      <c r="A147" s="911">
        <v>4.3</v>
      </c>
      <c r="B147" s="903">
        <v>0.94820000000000004</v>
      </c>
      <c r="C147" s="903">
        <v>0.94820000000000004</v>
      </c>
      <c r="D147" s="903">
        <v>0.84960000000000002</v>
      </c>
      <c r="E147" s="903">
        <v>0.84960000000000002</v>
      </c>
      <c r="F147" s="903">
        <v>0.84960000000000002</v>
      </c>
      <c r="G147" s="903">
        <v>0.84960000000000002</v>
      </c>
      <c r="H147" s="903">
        <v>0.84960000000000002</v>
      </c>
      <c r="I147" s="903">
        <v>0.77029999999999998</v>
      </c>
      <c r="J147" s="903">
        <v>0.77029999999999998</v>
      </c>
      <c r="K147" s="903">
        <v>0.77029999999999998</v>
      </c>
      <c r="L147" s="903">
        <v>0.77029999999999998</v>
      </c>
      <c r="M147" s="903">
        <v>0.77029999999999998</v>
      </c>
    </row>
    <row r="148" spans="1:13">
      <c r="A148" s="911">
        <v>4.4000000000000004</v>
      </c>
      <c r="B148" s="903">
        <v>0.94320000000000004</v>
      </c>
      <c r="C148" s="903">
        <v>0.94320000000000004</v>
      </c>
      <c r="D148" s="903">
        <v>0.8448</v>
      </c>
      <c r="E148" s="903">
        <v>0.8448</v>
      </c>
      <c r="F148" s="903">
        <v>0.8448</v>
      </c>
      <c r="G148" s="903">
        <v>0.8448</v>
      </c>
      <c r="H148" s="903">
        <v>0.8448</v>
      </c>
      <c r="I148" s="903">
        <v>0.76490000000000002</v>
      </c>
      <c r="J148" s="903">
        <v>0.76490000000000002</v>
      </c>
      <c r="K148" s="903">
        <v>0.76490000000000002</v>
      </c>
      <c r="L148" s="903">
        <v>0.76490000000000002</v>
      </c>
      <c r="M148" s="903">
        <v>0.76490000000000002</v>
      </c>
    </row>
    <row r="149" spans="1:13">
      <c r="A149" s="911">
        <v>4.5</v>
      </c>
      <c r="B149" s="903">
        <v>0.9385</v>
      </c>
      <c r="C149" s="903">
        <v>0.9385</v>
      </c>
      <c r="D149" s="903">
        <v>0.84019999999999995</v>
      </c>
      <c r="E149" s="903">
        <v>0.84019999999999995</v>
      </c>
      <c r="F149" s="903">
        <v>0.84019999999999995</v>
      </c>
      <c r="G149" s="903">
        <v>0.84019999999999995</v>
      </c>
      <c r="H149" s="903">
        <v>0.84019999999999995</v>
      </c>
      <c r="I149" s="903">
        <v>0.75970000000000004</v>
      </c>
      <c r="J149" s="903">
        <v>0.75970000000000004</v>
      </c>
      <c r="K149" s="903">
        <v>0.75970000000000004</v>
      </c>
      <c r="L149" s="903">
        <v>0.75970000000000004</v>
      </c>
      <c r="M149" s="903">
        <v>0.75970000000000004</v>
      </c>
    </row>
    <row r="150" spans="1:13">
      <c r="A150" s="911">
        <v>4.5999999999999996</v>
      </c>
      <c r="B150" s="903">
        <v>0.93410000000000004</v>
      </c>
      <c r="C150" s="903">
        <v>0.93410000000000004</v>
      </c>
      <c r="D150" s="903">
        <v>0.83579999999999999</v>
      </c>
      <c r="E150" s="903">
        <v>0.83579999999999999</v>
      </c>
      <c r="F150" s="903">
        <v>0.83579999999999999</v>
      </c>
      <c r="G150" s="903">
        <v>0.83579999999999999</v>
      </c>
      <c r="H150" s="903">
        <v>0.83579999999999999</v>
      </c>
      <c r="I150" s="903">
        <v>0.75470000000000004</v>
      </c>
      <c r="J150" s="903">
        <v>0.75470000000000004</v>
      </c>
      <c r="K150" s="903">
        <v>0.75470000000000004</v>
      </c>
      <c r="L150" s="903">
        <v>0.75470000000000004</v>
      </c>
      <c r="M150" s="903">
        <v>0.75470000000000004</v>
      </c>
    </row>
    <row r="151" spans="1:13">
      <c r="A151" s="911">
        <v>4.7</v>
      </c>
      <c r="B151" s="903">
        <v>0.92989999999999995</v>
      </c>
      <c r="C151" s="903">
        <v>0.92989999999999995</v>
      </c>
      <c r="D151" s="903">
        <v>0.83160000000000001</v>
      </c>
      <c r="E151" s="903">
        <v>0.83160000000000001</v>
      </c>
      <c r="F151" s="903">
        <v>0.83160000000000001</v>
      </c>
      <c r="G151" s="903">
        <v>0.83160000000000001</v>
      </c>
      <c r="H151" s="903">
        <v>0.83160000000000001</v>
      </c>
      <c r="I151" s="903">
        <v>0.74990000000000001</v>
      </c>
      <c r="J151" s="903">
        <v>0.74990000000000001</v>
      </c>
      <c r="K151" s="903">
        <v>0.74990000000000001</v>
      </c>
      <c r="L151" s="903">
        <v>0.74990000000000001</v>
      </c>
      <c r="M151" s="903">
        <v>0.74990000000000001</v>
      </c>
    </row>
    <row r="152" spans="1:13">
      <c r="A152" s="911">
        <v>4.8</v>
      </c>
      <c r="B152" s="903">
        <v>0.92589999999999995</v>
      </c>
      <c r="C152" s="903">
        <v>0.92589999999999995</v>
      </c>
      <c r="D152" s="903">
        <v>0.82769999999999999</v>
      </c>
      <c r="E152" s="903">
        <v>0.82769999999999999</v>
      </c>
      <c r="F152" s="903">
        <v>0.82769999999999999</v>
      </c>
      <c r="G152" s="903">
        <v>0.82769999999999999</v>
      </c>
      <c r="H152" s="903">
        <v>0.82769999999999999</v>
      </c>
      <c r="I152" s="903">
        <v>0.74529999999999996</v>
      </c>
      <c r="J152" s="903">
        <v>0.74529999999999996</v>
      </c>
      <c r="K152" s="903">
        <v>0.74529999999999996</v>
      </c>
      <c r="L152" s="903">
        <v>0.74529999999999996</v>
      </c>
      <c r="M152" s="903">
        <v>0.74529999999999996</v>
      </c>
    </row>
    <row r="153" spans="1:13">
      <c r="A153" s="911">
        <v>4.9000000000000004</v>
      </c>
      <c r="B153" s="903">
        <v>0.92210000000000003</v>
      </c>
      <c r="C153" s="903">
        <v>0.92210000000000003</v>
      </c>
      <c r="D153" s="903">
        <v>0.82389999999999997</v>
      </c>
      <c r="E153" s="903">
        <v>0.82389999999999997</v>
      </c>
      <c r="F153" s="903">
        <v>0.82389999999999997</v>
      </c>
      <c r="G153" s="903">
        <v>0.82389999999999997</v>
      </c>
      <c r="H153" s="903">
        <v>0.82389999999999997</v>
      </c>
      <c r="I153" s="903">
        <v>0.7409</v>
      </c>
      <c r="J153" s="903">
        <v>0.7409</v>
      </c>
      <c r="K153" s="903">
        <v>0.7409</v>
      </c>
      <c r="L153" s="903">
        <v>0.7409</v>
      </c>
      <c r="M153" s="903">
        <v>0.7409</v>
      </c>
    </row>
    <row r="154" spans="1:13">
      <c r="A154" s="911">
        <v>5</v>
      </c>
      <c r="B154" s="903">
        <v>0.91849999999999998</v>
      </c>
      <c r="C154" s="903">
        <v>0.91849999999999998</v>
      </c>
      <c r="D154" s="903">
        <v>0.82030000000000003</v>
      </c>
      <c r="E154" s="903">
        <v>0.82030000000000003</v>
      </c>
      <c r="F154" s="903">
        <v>0.82030000000000003</v>
      </c>
      <c r="G154" s="903">
        <v>0.82030000000000003</v>
      </c>
      <c r="H154" s="903">
        <v>0.82030000000000003</v>
      </c>
      <c r="I154" s="903">
        <v>0.73670000000000002</v>
      </c>
      <c r="J154" s="903">
        <v>0.73670000000000002</v>
      </c>
      <c r="K154" s="903">
        <v>0.73670000000000002</v>
      </c>
      <c r="L154" s="903">
        <v>0.73670000000000002</v>
      </c>
      <c r="M154" s="903">
        <v>0.73670000000000002</v>
      </c>
    </row>
    <row r="155" spans="1:13">
      <c r="A155" s="896">
        <v>5.0999999999999996</v>
      </c>
      <c r="B155" s="903">
        <v>0.91510000000000002</v>
      </c>
      <c r="C155" s="903">
        <v>0.91510000000000002</v>
      </c>
      <c r="D155" s="903">
        <v>0.81689999999999996</v>
      </c>
      <c r="E155" s="903">
        <v>0.81689999999999996</v>
      </c>
      <c r="F155" s="903">
        <v>0.81689999999999996</v>
      </c>
      <c r="G155" s="903">
        <v>0.81689999999999996</v>
      </c>
      <c r="H155" s="903">
        <v>0.81689999999999996</v>
      </c>
      <c r="I155" s="903">
        <v>0.73270000000000002</v>
      </c>
      <c r="J155" s="903">
        <v>0.73270000000000002</v>
      </c>
      <c r="K155" s="903">
        <v>0.73270000000000002</v>
      </c>
      <c r="L155" s="903">
        <v>0.73270000000000002</v>
      </c>
      <c r="M155" s="903">
        <v>0.73270000000000002</v>
      </c>
    </row>
    <row r="156" spans="1:13">
      <c r="A156" s="896">
        <v>5.2</v>
      </c>
      <c r="B156" s="903">
        <v>0.91190000000000004</v>
      </c>
      <c r="C156" s="903">
        <v>0.91190000000000004</v>
      </c>
      <c r="D156" s="903">
        <v>0.81359999999999999</v>
      </c>
      <c r="E156" s="903">
        <v>0.81359999999999999</v>
      </c>
      <c r="F156" s="903">
        <v>0.81359999999999999</v>
      </c>
      <c r="G156" s="903">
        <v>0.81359999999999999</v>
      </c>
      <c r="H156" s="903">
        <v>0.81359999999999999</v>
      </c>
      <c r="I156" s="903">
        <v>0.72889999999999999</v>
      </c>
      <c r="J156" s="903">
        <v>0.72889999999999999</v>
      </c>
      <c r="K156" s="903">
        <v>0.72889999999999999</v>
      </c>
      <c r="L156" s="903">
        <v>0.72889999999999999</v>
      </c>
      <c r="M156" s="903">
        <v>0.72889999999999999</v>
      </c>
    </row>
    <row r="157" spans="1:13">
      <c r="A157" s="896">
        <v>5.3</v>
      </c>
      <c r="B157" s="903">
        <v>0.90880000000000005</v>
      </c>
      <c r="C157" s="903">
        <v>0.90880000000000005</v>
      </c>
      <c r="D157" s="903">
        <v>0.8105</v>
      </c>
      <c r="E157" s="903">
        <v>0.8105</v>
      </c>
      <c r="F157" s="903">
        <v>0.8105</v>
      </c>
      <c r="G157" s="903">
        <v>0.8105</v>
      </c>
      <c r="H157" s="903">
        <v>0.8105</v>
      </c>
      <c r="I157" s="903">
        <v>0.72529999999999994</v>
      </c>
      <c r="J157" s="903">
        <v>0.72529999999999994</v>
      </c>
      <c r="K157" s="903">
        <v>0.72529999999999994</v>
      </c>
      <c r="L157" s="903">
        <v>0.72529999999999994</v>
      </c>
      <c r="M157" s="903">
        <v>0.72529999999999994</v>
      </c>
    </row>
    <row r="158" spans="1:13">
      <c r="A158" s="896">
        <v>5.4</v>
      </c>
      <c r="B158" s="903">
        <v>0.90580000000000005</v>
      </c>
      <c r="C158" s="903">
        <v>0.90580000000000005</v>
      </c>
      <c r="D158" s="903">
        <v>0.8075</v>
      </c>
      <c r="E158" s="903">
        <v>0.8075</v>
      </c>
      <c r="F158" s="903">
        <v>0.8075</v>
      </c>
      <c r="G158" s="903">
        <v>0.8075</v>
      </c>
      <c r="H158" s="903">
        <v>0.8075</v>
      </c>
      <c r="I158" s="903">
        <v>0.7218</v>
      </c>
      <c r="J158" s="903">
        <v>0.7218</v>
      </c>
      <c r="K158" s="903">
        <v>0.7218</v>
      </c>
      <c r="L158" s="903">
        <v>0.7218</v>
      </c>
      <c r="M158" s="903">
        <v>0.7218</v>
      </c>
    </row>
    <row r="159" spans="1:13">
      <c r="A159" s="896">
        <v>5.5</v>
      </c>
      <c r="B159" s="903">
        <v>0.90290000000000004</v>
      </c>
      <c r="C159" s="903">
        <v>0.90290000000000004</v>
      </c>
      <c r="D159" s="903">
        <v>0.80469999999999997</v>
      </c>
      <c r="E159" s="903">
        <v>0.80469999999999997</v>
      </c>
      <c r="F159" s="903">
        <v>0.80469999999999997</v>
      </c>
      <c r="G159" s="903">
        <v>0.80469999999999997</v>
      </c>
      <c r="H159" s="903">
        <v>0.80469999999999997</v>
      </c>
      <c r="I159" s="903">
        <v>0.71840000000000004</v>
      </c>
      <c r="J159" s="903">
        <v>0.71840000000000004</v>
      </c>
      <c r="K159" s="903">
        <v>0.71840000000000004</v>
      </c>
      <c r="L159" s="903">
        <v>0.71840000000000004</v>
      </c>
      <c r="M159" s="903">
        <v>0.71840000000000004</v>
      </c>
    </row>
    <row r="160" spans="1:13">
      <c r="A160" s="896">
        <v>5.6</v>
      </c>
      <c r="B160" s="903">
        <v>0.90010000000000001</v>
      </c>
      <c r="C160" s="903">
        <v>0.90010000000000001</v>
      </c>
      <c r="D160" s="903">
        <v>0.80200000000000005</v>
      </c>
      <c r="E160" s="903">
        <v>0.80200000000000005</v>
      </c>
      <c r="F160" s="903">
        <v>0.80200000000000005</v>
      </c>
      <c r="G160" s="903">
        <v>0.80200000000000005</v>
      </c>
      <c r="H160" s="903">
        <v>0.80200000000000005</v>
      </c>
      <c r="I160" s="903">
        <v>0.71509999999999996</v>
      </c>
      <c r="J160" s="903">
        <v>0.71509999999999996</v>
      </c>
      <c r="K160" s="903">
        <v>0.71509999999999996</v>
      </c>
      <c r="L160" s="903">
        <v>0.71509999999999996</v>
      </c>
      <c r="M160" s="903">
        <v>0.71509999999999996</v>
      </c>
    </row>
    <row r="161" spans="1:13">
      <c r="A161" s="911">
        <v>5.7</v>
      </c>
      <c r="B161" s="903">
        <v>0.89749999999999996</v>
      </c>
      <c r="C161" s="903">
        <v>0.89749999999999996</v>
      </c>
      <c r="D161" s="903">
        <v>0.79930000000000001</v>
      </c>
      <c r="E161" s="903">
        <v>0.79930000000000001</v>
      </c>
      <c r="F161" s="903">
        <v>0.79930000000000001</v>
      </c>
      <c r="G161" s="903">
        <v>0.79930000000000001</v>
      </c>
      <c r="H161" s="903">
        <v>0.79930000000000001</v>
      </c>
      <c r="I161" s="903">
        <v>0.71189999999999998</v>
      </c>
      <c r="J161" s="903">
        <v>0.71189999999999998</v>
      </c>
      <c r="K161" s="903">
        <v>0.71189999999999998</v>
      </c>
      <c r="L161" s="903">
        <v>0.71189999999999998</v>
      </c>
      <c r="M161" s="903">
        <v>0.71189999999999998</v>
      </c>
    </row>
    <row r="162" spans="1:13">
      <c r="A162" s="896">
        <v>5.8</v>
      </c>
      <c r="B162" s="903">
        <v>0.89500000000000002</v>
      </c>
      <c r="C162" s="903">
        <v>0.89500000000000002</v>
      </c>
      <c r="D162" s="903">
        <v>0.79679999999999995</v>
      </c>
      <c r="E162" s="903">
        <v>0.79679999999999995</v>
      </c>
      <c r="F162" s="903">
        <v>0.79679999999999995</v>
      </c>
      <c r="G162" s="903">
        <v>0.79679999999999995</v>
      </c>
      <c r="H162" s="903">
        <v>0.79679999999999995</v>
      </c>
      <c r="I162" s="903">
        <v>0.70879999999999999</v>
      </c>
      <c r="J162" s="903">
        <v>0.70879999999999999</v>
      </c>
      <c r="K162" s="903">
        <v>0.70879999999999999</v>
      </c>
      <c r="L162" s="903">
        <v>0.70879999999999999</v>
      </c>
      <c r="M162" s="903">
        <v>0.70879999999999999</v>
      </c>
    </row>
    <row r="163" spans="1:13">
      <c r="A163" s="896">
        <v>5.9</v>
      </c>
      <c r="B163" s="903">
        <v>0.89259999999999995</v>
      </c>
      <c r="C163" s="903">
        <v>0.89259999999999995</v>
      </c>
      <c r="D163" s="903">
        <v>0.7944</v>
      </c>
      <c r="E163" s="903">
        <v>0.7944</v>
      </c>
      <c r="F163" s="903">
        <v>0.7944</v>
      </c>
      <c r="G163" s="903">
        <v>0.7944</v>
      </c>
      <c r="H163" s="903">
        <v>0.7944</v>
      </c>
      <c r="I163" s="903">
        <v>0.70579999999999998</v>
      </c>
      <c r="J163" s="903">
        <v>0.70579999999999998</v>
      </c>
      <c r="K163" s="903">
        <v>0.70579999999999998</v>
      </c>
      <c r="L163" s="903">
        <v>0.70579999999999998</v>
      </c>
      <c r="M163" s="903">
        <v>0.70579999999999998</v>
      </c>
    </row>
    <row r="164" spans="1:13">
      <c r="A164" s="896">
        <v>6</v>
      </c>
      <c r="B164" s="903">
        <v>0.89029999999999998</v>
      </c>
      <c r="C164" s="903">
        <v>0.89029999999999998</v>
      </c>
      <c r="D164" s="903">
        <v>0.79200000000000004</v>
      </c>
      <c r="E164" s="903">
        <v>0.79200000000000004</v>
      </c>
      <c r="F164" s="903">
        <v>0.79200000000000004</v>
      </c>
      <c r="G164" s="903">
        <v>0.79200000000000004</v>
      </c>
      <c r="H164" s="903">
        <v>0.79200000000000004</v>
      </c>
      <c r="I164" s="903">
        <v>0.70289999999999997</v>
      </c>
      <c r="J164" s="903">
        <v>0.70289999999999997</v>
      </c>
      <c r="K164" s="903">
        <v>0.70289999999999997</v>
      </c>
      <c r="L164" s="903">
        <v>0.70289999999999997</v>
      </c>
      <c r="M164" s="903">
        <v>0.70289999999999997</v>
      </c>
    </row>
    <row r="165" spans="1:13">
      <c r="A165" s="896">
        <v>6.1</v>
      </c>
      <c r="B165" s="903">
        <v>0.8881</v>
      </c>
      <c r="C165" s="903">
        <v>0.8881</v>
      </c>
      <c r="D165" s="903">
        <v>0.78979999999999995</v>
      </c>
      <c r="E165" s="903">
        <v>0.78979999999999995</v>
      </c>
      <c r="F165" s="903">
        <v>0.78979999999999995</v>
      </c>
      <c r="G165" s="903">
        <v>0.78979999999999995</v>
      </c>
      <c r="H165" s="903">
        <v>0.78979999999999995</v>
      </c>
      <c r="I165" s="903">
        <v>0.70009999999999994</v>
      </c>
      <c r="J165" s="903">
        <v>0.70009999999999994</v>
      </c>
      <c r="K165" s="903">
        <v>0.70009999999999994</v>
      </c>
      <c r="L165" s="903">
        <v>0.70009999999999994</v>
      </c>
      <c r="M165" s="903">
        <v>0.70009999999999994</v>
      </c>
    </row>
    <row r="166" spans="1:13">
      <c r="A166" s="896">
        <v>6.2</v>
      </c>
      <c r="B166" s="903">
        <v>0.88600000000000001</v>
      </c>
      <c r="C166" s="903">
        <v>0.88600000000000001</v>
      </c>
      <c r="D166" s="903">
        <v>0.78759999999999997</v>
      </c>
      <c r="E166" s="903">
        <v>0.78759999999999997</v>
      </c>
      <c r="F166" s="903">
        <v>0.78759999999999997</v>
      </c>
      <c r="G166" s="903">
        <v>0.78759999999999997</v>
      </c>
      <c r="H166" s="903">
        <v>0.78759999999999997</v>
      </c>
      <c r="I166" s="903">
        <v>0.69740000000000002</v>
      </c>
      <c r="J166" s="903">
        <v>0.69740000000000002</v>
      </c>
      <c r="K166" s="903">
        <v>0.69740000000000002</v>
      </c>
      <c r="L166" s="903">
        <v>0.69740000000000002</v>
      </c>
      <c r="M166" s="903">
        <v>0.69740000000000002</v>
      </c>
    </row>
    <row r="167" spans="1:13">
      <c r="A167" s="896">
        <v>6.3</v>
      </c>
      <c r="B167" s="903">
        <v>0.88390000000000002</v>
      </c>
      <c r="C167" s="903">
        <v>0.88390000000000002</v>
      </c>
      <c r="D167" s="903">
        <v>0.78549999999999998</v>
      </c>
      <c r="E167" s="903">
        <v>0.78549999999999998</v>
      </c>
      <c r="F167" s="903">
        <v>0.78549999999999998</v>
      </c>
      <c r="G167" s="903">
        <v>0.78549999999999998</v>
      </c>
      <c r="H167" s="903">
        <v>0.78549999999999998</v>
      </c>
      <c r="I167" s="903">
        <v>0.69479999999999997</v>
      </c>
      <c r="J167" s="903">
        <v>0.69479999999999997</v>
      </c>
      <c r="K167" s="903">
        <v>0.69479999999999997</v>
      </c>
      <c r="L167" s="903">
        <v>0.69479999999999997</v>
      </c>
      <c r="M167" s="903">
        <v>0.69479999999999997</v>
      </c>
    </row>
    <row r="168" spans="1:13">
      <c r="A168" s="896">
        <v>6.4</v>
      </c>
      <c r="B168" s="903">
        <v>0.88190000000000002</v>
      </c>
      <c r="C168" s="903">
        <v>0.88190000000000002</v>
      </c>
      <c r="D168" s="903">
        <v>0.78339999999999999</v>
      </c>
      <c r="E168" s="903">
        <v>0.78339999999999999</v>
      </c>
      <c r="F168" s="903">
        <v>0.78339999999999999</v>
      </c>
      <c r="G168" s="903">
        <v>0.78339999999999999</v>
      </c>
      <c r="H168" s="903">
        <v>0.78339999999999999</v>
      </c>
      <c r="I168" s="903">
        <v>0.69230000000000003</v>
      </c>
      <c r="J168" s="903">
        <v>0.69230000000000003</v>
      </c>
      <c r="K168" s="903">
        <v>0.69230000000000003</v>
      </c>
      <c r="L168" s="903">
        <v>0.69230000000000003</v>
      </c>
      <c r="M168" s="903">
        <v>0.69230000000000003</v>
      </c>
    </row>
    <row r="169" spans="1:13">
      <c r="A169" s="896">
        <v>6.5</v>
      </c>
      <c r="B169" s="903">
        <v>0.88</v>
      </c>
      <c r="C169" s="903">
        <v>0.88</v>
      </c>
      <c r="D169" s="903">
        <v>0.78139999999999998</v>
      </c>
      <c r="E169" s="903">
        <v>0.78139999999999998</v>
      </c>
      <c r="F169" s="903">
        <v>0.78139999999999998</v>
      </c>
      <c r="G169" s="903">
        <v>0.78139999999999998</v>
      </c>
      <c r="H169" s="903">
        <v>0.78139999999999998</v>
      </c>
      <c r="I169" s="903">
        <v>0.68989999999999996</v>
      </c>
      <c r="J169" s="903">
        <v>0.68989999999999996</v>
      </c>
      <c r="K169" s="903">
        <v>0.68989999999999996</v>
      </c>
      <c r="L169" s="903">
        <v>0.68989999999999996</v>
      </c>
      <c r="M169" s="903">
        <v>0.68989999999999996</v>
      </c>
    </row>
    <row r="170" spans="1:13">
      <c r="A170" s="896">
        <v>6.6</v>
      </c>
      <c r="B170" s="903">
        <v>0.87809999999999999</v>
      </c>
      <c r="C170" s="903">
        <v>0.87809999999999999</v>
      </c>
      <c r="D170" s="903">
        <v>0.77949999999999997</v>
      </c>
      <c r="E170" s="903">
        <v>0.77949999999999997</v>
      </c>
      <c r="F170" s="903">
        <v>0.77949999999999997</v>
      </c>
      <c r="G170" s="903">
        <v>0.77949999999999997</v>
      </c>
      <c r="H170" s="903">
        <v>0.77949999999999997</v>
      </c>
      <c r="I170" s="903">
        <v>0.68759999999999999</v>
      </c>
      <c r="J170" s="903">
        <v>0.68759999999999999</v>
      </c>
      <c r="K170" s="903">
        <v>0.68759999999999999</v>
      </c>
      <c r="L170" s="903">
        <v>0.68759999999999999</v>
      </c>
      <c r="M170" s="903">
        <v>0.68759999999999999</v>
      </c>
    </row>
    <row r="171" spans="1:13">
      <c r="A171" s="896">
        <v>6.7</v>
      </c>
      <c r="B171" s="903">
        <v>0.87629999999999997</v>
      </c>
      <c r="C171" s="903">
        <v>0.87629999999999997</v>
      </c>
      <c r="D171" s="903">
        <v>0.77759999999999996</v>
      </c>
      <c r="E171" s="903">
        <v>0.77759999999999996</v>
      </c>
      <c r="F171" s="903">
        <v>0.77759999999999996</v>
      </c>
      <c r="G171" s="903">
        <v>0.77759999999999996</v>
      </c>
      <c r="H171" s="903">
        <v>0.77759999999999996</v>
      </c>
      <c r="I171" s="903">
        <v>0.68530000000000002</v>
      </c>
      <c r="J171" s="903">
        <v>0.68530000000000002</v>
      </c>
      <c r="K171" s="903">
        <v>0.68530000000000002</v>
      </c>
      <c r="L171" s="903">
        <v>0.68530000000000002</v>
      </c>
      <c r="M171" s="903">
        <v>0.68530000000000002</v>
      </c>
    </row>
    <row r="172" spans="1:13">
      <c r="A172" s="896">
        <v>6.8</v>
      </c>
      <c r="B172" s="903">
        <v>0.87450000000000006</v>
      </c>
      <c r="C172" s="903">
        <v>0.87450000000000006</v>
      </c>
      <c r="D172" s="903">
        <v>0.77569999999999995</v>
      </c>
      <c r="E172" s="903">
        <v>0.77569999999999995</v>
      </c>
      <c r="F172" s="903">
        <v>0.77569999999999995</v>
      </c>
      <c r="G172" s="903">
        <v>0.77569999999999995</v>
      </c>
      <c r="H172" s="903">
        <v>0.77569999999999995</v>
      </c>
      <c r="I172" s="903">
        <v>0.68310000000000004</v>
      </c>
      <c r="J172" s="903">
        <v>0.68310000000000004</v>
      </c>
      <c r="K172" s="903">
        <v>0.68310000000000004</v>
      </c>
      <c r="L172" s="903">
        <v>0.68310000000000004</v>
      </c>
      <c r="M172" s="903">
        <v>0.68310000000000004</v>
      </c>
    </row>
    <row r="173" spans="1:13">
      <c r="A173" s="896">
        <v>6.9</v>
      </c>
      <c r="B173" s="903">
        <v>0.87280000000000002</v>
      </c>
      <c r="C173" s="903">
        <v>0.87280000000000002</v>
      </c>
      <c r="D173" s="903">
        <v>0.77390000000000003</v>
      </c>
      <c r="E173" s="903">
        <v>0.77390000000000003</v>
      </c>
      <c r="F173" s="903">
        <v>0.77390000000000003</v>
      </c>
      <c r="G173" s="903">
        <v>0.77390000000000003</v>
      </c>
      <c r="H173" s="903">
        <v>0.77390000000000003</v>
      </c>
      <c r="I173" s="903">
        <v>0.68089999999999995</v>
      </c>
      <c r="J173" s="903">
        <v>0.68089999999999995</v>
      </c>
      <c r="K173" s="903">
        <v>0.68089999999999995</v>
      </c>
      <c r="L173" s="903">
        <v>0.68089999999999995</v>
      </c>
      <c r="M173" s="903">
        <v>0.68089999999999995</v>
      </c>
    </row>
    <row r="174" spans="1:13">
      <c r="A174" s="896">
        <v>7</v>
      </c>
      <c r="B174" s="903">
        <v>0.87109999999999999</v>
      </c>
      <c r="C174" s="903">
        <v>0.87109999999999999</v>
      </c>
      <c r="D174" s="903">
        <v>0.77210000000000001</v>
      </c>
      <c r="E174" s="903">
        <v>0.77210000000000001</v>
      </c>
      <c r="F174" s="903">
        <v>0.77210000000000001</v>
      </c>
      <c r="G174" s="903">
        <v>0.77210000000000001</v>
      </c>
      <c r="H174" s="903">
        <v>0.77210000000000001</v>
      </c>
      <c r="I174" s="903">
        <v>0.67879999999999996</v>
      </c>
      <c r="J174" s="903">
        <v>0.67879999999999996</v>
      </c>
      <c r="K174" s="903">
        <v>0.67879999999999996</v>
      </c>
      <c r="L174" s="903">
        <v>0.67879999999999996</v>
      </c>
      <c r="M174" s="903">
        <v>0.67879999999999996</v>
      </c>
    </row>
    <row r="175" spans="1:13">
      <c r="A175" s="896">
        <v>7.1</v>
      </c>
      <c r="B175" s="903">
        <v>0.86939999999999995</v>
      </c>
      <c r="C175" s="903">
        <v>0.86939999999999995</v>
      </c>
      <c r="D175" s="903">
        <v>0.77039999999999997</v>
      </c>
      <c r="E175" s="903">
        <v>0.77039999999999997</v>
      </c>
      <c r="F175" s="903">
        <v>0.77039999999999997</v>
      </c>
      <c r="G175" s="903">
        <v>0.77039999999999997</v>
      </c>
      <c r="H175" s="903">
        <v>0.77039999999999997</v>
      </c>
      <c r="I175" s="903">
        <v>0.67669999999999997</v>
      </c>
      <c r="J175" s="903">
        <v>0.67669999999999997</v>
      </c>
      <c r="K175" s="903">
        <v>0.67669999999999997</v>
      </c>
      <c r="L175" s="903">
        <v>0.67669999999999997</v>
      </c>
      <c r="M175" s="903">
        <v>0.67669999999999997</v>
      </c>
    </row>
    <row r="176" spans="1:13">
      <c r="A176" s="896">
        <v>7.2</v>
      </c>
      <c r="B176" s="903">
        <v>0.86770000000000003</v>
      </c>
      <c r="C176" s="903">
        <v>0.86770000000000003</v>
      </c>
      <c r="D176" s="903">
        <v>0.76870000000000005</v>
      </c>
      <c r="E176" s="903">
        <v>0.76870000000000005</v>
      </c>
      <c r="F176" s="903">
        <v>0.76870000000000005</v>
      </c>
      <c r="G176" s="903">
        <v>0.76870000000000005</v>
      </c>
      <c r="H176" s="903">
        <v>0.76870000000000005</v>
      </c>
      <c r="I176" s="903">
        <v>0.67469999999999997</v>
      </c>
      <c r="J176" s="903">
        <v>0.67469999999999997</v>
      </c>
      <c r="K176" s="903">
        <v>0.67469999999999997</v>
      </c>
      <c r="L176" s="903">
        <v>0.67469999999999997</v>
      </c>
      <c r="M176" s="903">
        <v>0.67469999999999997</v>
      </c>
    </row>
    <row r="177" spans="1:13">
      <c r="A177" s="896">
        <v>7.3</v>
      </c>
      <c r="B177" s="903">
        <v>0.86609999999999998</v>
      </c>
      <c r="C177" s="903">
        <v>0.86609999999999998</v>
      </c>
      <c r="D177" s="903">
        <v>0.76700000000000002</v>
      </c>
      <c r="E177" s="903">
        <v>0.76700000000000002</v>
      </c>
      <c r="F177" s="903">
        <v>0.76700000000000002</v>
      </c>
      <c r="G177" s="903">
        <v>0.76700000000000002</v>
      </c>
      <c r="H177" s="903">
        <v>0.76700000000000002</v>
      </c>
      <c r="I177" s="903">
        <v>0.67269999999999996</v>
      </c>
      <c r="J177" s="903">
        <v>0.67269999999999996</v>
      </c>
      <c r="K177" s="903">
        <v>0.67269999999999996</v>
      </c>
      <c r="L177" s="903">
        <v>0.67269999999999996</v>
      </c>
      <c r="M177" s="903">
        <v>0.67269999999999996</v>
      </c>
    </row>
    <row r="178" spans="1:13">
      <c r="A178" s="896">
        <v>7.4</v>
      </c>
      <c r="B178" s="903">
        <v>0.86450000000000005</v>
      </c>
      <c r="C178" s="903">
        <v>0.86450000000000005</v>
      </c>
      <c r="D178" s="903">
        <v>0.76529999999999998</v>
      </c>
      <c r="E178" s="903">
        <v>0.76529999999999998</v>
      </c>
      <c r="F178" s="903">
        <v>0.76529999999999998</v>
      </c>
      <c r="G178" s="903">
        <v>0.76529999999999998</v>
      </c>
      <c r="H178" s="903">
        <v>0.76529999999999998</v>
      </c>
      <c r="I178" s="903">
        <v>0.67079999999999995</v>
      </c>
      <c r="J178" s="903">
        <v>0.67079999999999995</v>
      </c>
      <c r="K178" s="903">
        <v>0.67079999999999995</v>
      </c>
      <c r="L178" s="903">
        <v>0.67079999999999995</v>
      </c>
      <c r="M178" s="903">
        <v>0.67079999999999995</v>
      </c>
    </row>
    <row r="179" spans="1:13">
      <c r="A179" s="896">
        <v>7.5</v>
      </c>
      <c r="B179" s="903">
        <v>0.86299999999999999</v>
      </c>
      <c r="C179" s="903">
        <v>0.86299999999999999</v>
      </c>
      <c r="D179" s="903">
        <v>0.76359999999999995</v>
      </c>
      <c r="E179" s="903">
        <v>0.76359999999999995</v>
      </c>
      <c r="F179" s="903">
        <v>0.76359999999999995</v>
      </c>
      <c r="G179" s="903">
        <v>0.76359999999999995</v>
      </c>
      <c r="H179" s="903">
        <v>0.76359999999999995</v>
      </c>
      <c r="I179" s="903">
        <v>0.66890000000000005</v>
      </c>
      <c r="J179" s="903">
        <v>0.66890000000000005</v>
      </c>
      <c r="K179" s="903">
        <v>0.66890000000000005</v>
      </c>
      <c r="L179" s="903">
        <v>0.66890000000000005</v>
      </c>
      <c r="M179" s="903">
        <v>0.66890000000000005</v>
      </c>
    </row>
    <row r="180" spans="1:13">
      <c r="A180" s="896">
        <v>7.6</v>
      </c>
      <c r="B180" s="903">
        <v>0.86150000000000004</v>
      </c>
      <c r="C180" s="903">
        <v>0.86150000000000004</v>
      </c>
      <c r="D180" s="903">
        <v>0.76200000000000001</v>
      </c>
      <c r="E180" s="903">
        <v>0.76200000000000001</v>
      </c>
      <c r="F180" s="903">
        <v>0.76200000000000001</v>
      </c>
      <c r="G180" s="903">
        <v>0.76200000000000001</v>
      </c>
      <c r="H180" s="903">
        <v>0.76200000000000001</v>
      </c>
      <c r="I180" s="903">
        <v>0.66700000000000004</v>
      </c>
      <c r="J180" s="903">
        <v>0.66700000000000004</v>
      </c>
      <c r="K180" s="903">
        <v>0.66700000000000004</v>
      </c>
      <c r="L180" s="903">
        <v>0.66700000000000004</v>
      </c>
      <c r="M180" s="903">
        <v>0.66700000000000004</v>
      </c>
    </row>
    <row r="181" spans="1:13">
      <c r="A181" s="896">
        <v>7.7</v>
      </c>
      <c r="B181" s="903">
        <v>0.86</v>
      </c>
      <c r="C181" s="903">
        <v>0.86</v>
      </c>
      <c r="D181" s="903">
        <v>0.76039999999999996</v>
      </c>
      <c r="E181" s="903">
        <v>0.76039999999999996</v>
      </c>
      <c r="F181" s="903">
        <v>0.76039999999999996</v>
      </c>
      <c r="G181" s="903">
        <v>0.76039999999999996</v>
      </c>
      <c r="H181" s="903">
        <v>0.76039999999999996</v>
      </c>
      <c r="I181" s="903">
        <v>0.66510000000000002</v>
      </c>
      <c r="J181" s="903">
        <v>0.66510000000000002</v>
      </c>
      <c r="K181" s="903">
        <v>0.66510000000000002</v>
      </c>
      <c r="L181" s="903">
        <v>0.66510000000000002</v>
      </c>
      <c r="M181" s="903">
        <v>0.66510000000000002</v>
      </c>
    </row>
    <row r="182" spans="1:13">
      <c r="A182" s="896">
        <v>7.8</v>
      </c>
      <c r="B182" s="903">
        <v>0.85850000000000004</v>
      </c>
      <c r="C182" s="903">
        <v>0.85850000000000004</v>
      </c>
      <c r="D182" s="903">
        <v>0.75880000000000003</v>
      </c>
      <c r="E182" s="903">
        <v>0.75880000000000003</v>
      </c>
      <c r="F182" s="903">
        <v>0.75880000000000003</v>
      </c>
      <c r="G182" s="903">
        <v>0.75880000000000003</v>
      </c>
      <c r="H182" s="903">
        <v>0.75880000000000003</v>
      </c>
      <c r="I182" s="903">
        <v>0.6633</v>
      </c>
      <c r="J182" s="903">
        <v>0.6633</v>
      </c>
      <c r="K182" s="903">
        <v>0.6633</v>
      </c>
      <c r="L182" s="903">
        <v>0.6633</v>
      </c>
      <c r="M182" s="903">
        <v>0.6633</v>
      </c>
    </row>
    <row r="183" spans="1:13">
      <c r="A183" s="896">
        <v>7.9</v>
      </c>
      <c r="B183" s="903">
        <v>0.85699999999999998</v>
      </c>
      <c r="C183" s="903">
        <v>0.85699999999999998</v>
      </c>
      <c r="D183" s="903">
        <v>0.75719999999999998</v>
      </c>
      <c r="E183" s="903">
        <v>0.75719999999999998</v>
      </c>
      <c r="F183" s="903">
        <v>0.75719999999999998</v>
      </c>
      <c r="G183" s="903">
        <v>0.75719999999999998</v>
      </c>
      <c r="H183" s="903">
        <v>0.75719999999999998</v>
      </c>
      <c r="I183" s="903">
        <v>0.66149999999999998</v>
      </c>
      <c r="J183" s="903">
        <v>0.66149999999999998</v>
      </c>
      <c r="K183" s="903">
        <v>0.66149999999999998</v>
      </c>
      <c r="L183" s="903">
        <v>0.66149999999999998</v>
      </c>
      <c r="M183" s="903">
        <v>0.66149999999999998</v>
      </c>
    </row>
    <row r="184" spans="1:13">
      <c r="A184" s="896">
        <v>8</v>
      </c>
      <c r="B184" s="903">
        <v>0.85550000000000004</v>
      </c>
      <c r="C184" s="903">
        <v>0.85550000000000004</v>
      </c>
      <c r="D184" s="903">
        <v>0.75570000000000004</v>
      </c>
      <c r="E184" s="903">
        <v>0.75570000000000004</v>
      </c>
      <c r="F184" s="903">
        <v>0.75570000000000004</v>
      </c>
      <c r="G184" s="903">
        <v>0.75570000000000004</v>
      </c>
      <c r="H184" s="903">
        <v>0.75570000000000004</v>
      </c>
      <c r="I184" s="903">
        <v>0.65969999999999995</v>
      </c>
      <c r="J184" s="903">
        <v>0.65969999999999995</v>
      </c>
      <c r="K184" s="903">
        <v>0.65969999999999995</v>
      </c>
      <c r="L184" s="903">
        <v>0.65969999999999995</v>
      </c>
      <c r="M184" s="903">
        <v>0.65969999999999995</v>
      </c>
    </row>
    <row r="185" spans="1:13">
      <c r="A185" s="896">
        <v>8.1</v>
      </c>
      <c r="B185" s="903">
        <v>0.85399999999999998</v>
      </c>
      <c r="C185" s="903">
        <v>0.85399999999999998</v>
      </c>
      <c r="D185" s="903">
        <v>0.75419999999999998</v>
      </c>
      <c r="E185" s="903">
        <v>0.75419999999999998</v>
      </c>
      <c r="F185" s="903">
        <v>0.75419999999999998</v>
      </c>
      <c r="G185" s="903">
        <v>0.75419999999999998</v>
      </c>
      <c r="H185" s="903">
        <v>0.75419999999999998</v>
      </c>
      <c r="I185" s="903">
        <v>0.65800000000000003</v>
      </c>
      <c r="J185" s="903">
        <v>0.65800000000000003</v>
      </c>
      <c r="K185" s="903">
        <v>0.65800000000000003</v>
      </c>
      <c r="L185" s="903">
        <v>0.65800000000000003</v>
      </c>
      <c r="M185" s="903">
        <v>0.65800000000000003</v>
      </c>
    </row>
    <row r="186" spans="1:13">
      <c r="A186" s="896">
        <v>8.1999999999999993</v>
      </c>
      <c r="B186" s="903">
        <v>0.85250000000000004</v>
      </c>
      <c r="C186" s="903">
        <v>0.85250000000000004</v>
      </c>
      <c r="D186" s="903">
        <v>0.75270000000000004</v>
      </c>
      <c r="E186" s="903">
        <v>0.75270000000000004</v>
      </c>
      <c r="F186" s="903">
        <v>0.75270000000000004</v>
      </c>
      <c r="G186" s="903">
        <v>0.75270000000000004</v>
      </c>
      <c r="H186" s="903">
        <v>0.75270000000000004</v>
      </c>
      <c r="I186" s="903">
        <v>0.65629999999999999</v>
      </c>
      <c r="J186" s="903">
        <v>0.65629999999999999</v>
      </c>
      <c r="K186" s="903">
        <v>0.65629999999999999</v>
      </c>
      <c r="L186" s="903">
        <v>0.65629999999999999</v>
      </c>
      <c r="M186" s="903">
        <v>0.65629999999999999</v>
      </c>
    </row>
    <row r="187" spans="1:13">
      <c r="A187" s="896">
        <v>8.3000000000000007</v>
      </c>
      <c r="B187" s="903">
        <v>0.85109999999999997</v>
      </c>
      <c r="C187" s="903">
        <v>0.85109999999999997</v>
      </c>
      <c r="D187" s="903">
        <v>0.75119999999999998</v>
      </c>
      <c r="E187" s="903">
        <v>0.75119999999999998</v>
      </c>
      <c r="F187" s="903">
        <v>0.75119999999999998</v>
      </c>
      <c r="G187" s="903">
        <v>0.75119999999999998</v>
      </c>
      <c r="H187" s="903">
        <v>0.75119999999999998</v>
      </c>
      <c r="I187" s="903">
        <v>0.65459999999999996</v>
      </c>
      <c r="J187" s="903">
        <v>0.65459999999999996</v>
      </c>
      <c r="K187" s="903">
        <v>0.65459999999999996</v>
      </c>
      <c r="L187" s="903">
        <v>0.65459999999999996</v>
      </c>
      <c r="M187" s="903">
        <v>0.65459999999999996</v>
      </c>
    </row>
    <row r="188" spans="1:13">
      <c r="A188" s="896">
        <v>8.4</v>
      </c>
      <c r="B188" s="903">
        <v>0.84970000000000001</v>
      </c>
      <c r="C188" s="903">
        <v>0.84970000000000001</v>
      </c>
      <c r="D188" s="903">
        <v>0.74970000000000003</v>
      </c>
      <c r="E188" s="903">
        <v>0.74970000000000003</v>
      </c>
      <c r="F188" s="903">
        <v>0.74970000000000003</v>
      </c>
      <c r="G188" s="903">
        <v>0.74970000000000003</v>
      </c>
      <c r="H188" s="903">
        <v>0.74970000000000003</v>
      </c>
      <c r="I188" s="903">
        <v>0.65300000000000002</v>
      </c>
      <c r="J188" s="903">
        <v>0.65300000000000002</v>
      </c>
      <c r="K188" s="903">
        <v>0.65300000000000002</v>
      </c>
      <c r="L188" s="903">
        <v>0.65300000000000002</v>
      </c>
      <c r="M188" s="903">
        <v>0.65300000000000002</v>
      </c>
    </row>
    <row r="189" spans="1:13">
      <c r="A189" s="896">
        <v>8.5</v>
      </c>
      <c r="B189" s="903">
        <v>0.84830000000000005</v>
      </c>
      <c r="C189" s="903">
        <v>0.84830000000000005</v>
      </c>
      <c r="D189" s="903">
        <v>0.74819999999999998</v>
      </c>
      <c r="E189" s="903">
        <v>0.74819999999999998</v>
      </c>
      <c r="F189" s="903">
        <v>0.74819999999999998</v>
      </c>
      <c r="G189" s="903">
        <v>0.74819999999999998</v>
      </c>
      <c r="H189" s="903">
        <v>0.74819999999999998</v>
      </c>
      <c r="I189" s="903">
        <v>0.65139999999999998</v>
      </c>
      <c r="J189" s="903">
        <v>0.65139999999999998</v>
      </c>
      <c r="K189" s="903">
        <v>0.65139999999999998</v>
      </c>
      <c r="L189" s="903">
        <v>0.65139999999999998</v>
      </c>
      <c r="M189" s="903">
        <v>0.65139999999999998</v>
      </c>
    </row>
    <row r="190" spans="1:13">
      <c r="A190" s="896">
        <v>8.6</v>
      </c>
      <c r="B190" s="903">
        <v>0.84689999999999999</v>
      </c>
      <c r="C190" s="903">
        <v>0.84689999999999999</v>
      </c>
      <c r="D190" s="903">
        <v>0.74670000000000003</v>
      </c>
      <c r="E190" s="903">
        <v>0.74670000000000003</v>
      </c>
      <c r="F190" s="903">
        <v>0.74670000000000003</v>
      </c>
      <c r="G190" s="903">
        <v>0.74670000000000003</v>
      </c>
      <c r="H190" s="903">
        <v>0.74670000000000003</v>
      </c>
      <c r="I190" s="903">
        <v>0.64980000000000004</v>
      </c>
      <c r="J190" s="903">
        <v>0.64980000000000004</v>
      </c>
      <c r="K190" s="903">
        <v>0.64980000000000004</v>
      </c>
      <c r="L190" s="903">
        <v>0.64980000000000004</v>
      </c>
      <c r="M190" s="903">
        <v>0.64980000000000004</v>
      </c>
    </row>
    <row r="191" spans="1:13">
      <c r="A191" s="896">
        <v>8.6999999999999993</v>
      </c>
      <c r="B191" s="903">
        <v>0.84550000000000003</v>
      </c>
      <c r="C191" s="903">
        <v>0.84550000000000003</v>
      </c>
      <c r="D191" s="903">
        <v>0.74519999999999997</v>
      </c>
      <c r="E191" s="903">
        <v>0.74519999999999997</v>
      </c>
      <c r="F191" s="903">
        <v>0.74519999999999997</v>
      </c>
      <c r="G191" s="903">
        <v>0.74519999999999997</v>
      </c>
      <c r="H191" s="903">
        <v>0.74519999999999997</v>
      </c>
      <c r="I191" s="903">
        <v>0.6482</v>
      </c>
      <c r="J191" s="903">
        <v>0.6482</v>
      </c>
      <c r="K191" s="903">
        <v>0.6482</v>
      </c>
      <c r="L191" s="903">
        <v>0.6482</v>
      </c>
      <c r="M191" s="903">
        <v>0.6482</v>
      </c>
    </row>
    <row r="192" spans="1:13">
      <c r="A192" s="896">
        <v>8.8000000000000007</v>
      </c>
      <c r="B192" s="903">
        <v>0.84409999999999996</v>
      </c>
      <c r="C192" s="903">
        <v>0.84409999999999996</v>
      </c>
      <c r="D192" s="903">
        <v>0.74370000000000003</v>
      </c>
      <c r="E192" s="903">
        <v>0.74370000000000003</v>
      </c>
      <c r="F192" s="903">
        <v>0.74370000000000003</v>
      </c>
      <c r="G192" s="903">
        <v>0.74370000000000003</v>
      </c>
      <c r="H192" s="903">
        <v>0.74370000000000003</v>
      </c>
      <c r="I192" s="903">
        <v>0.64659999999999995</v>
      </c>
      <c r="J192" s="903">
        <v>0.64659999999999995</v>
      </c>
      <c r="K192" s="903">
        <v>0.64659999999999995</v>
      </c>
      <c r="L192" s="903">
        <v>0.64659999999999995</v>
      </c>
      <c r="M192" s="903">
        <v>0.64659999999999995</v>
      </c>
    </row>
    <row r="193" spans="1:13">
      <c r="A193" s="896">
        <v>8.9</v>
      </c>
      <c r="B193" s="903">
        <v>0.84279999999999999</v>
      </c>
      <c r="C193" s="903">
        <v>0.84279999999999999</v>
      </c>
      <c r="D193" s="903">
        <v>0.74219999999999997</v>
      </c>
      <c r="E193" s="903">
        <v>0.74219999999999997</v>
      </c>
      <c r="F193" s="903">
        <v>0.74219999999999997</v>
      </c>
      <c r="G193" s="903">
        <v>0.74219999999999997</v>
      </c>
      <c r="H193" s="903">
        <v>0.74219999999999997</v>
      </c>
      <c r="I193" s="903">
        <v>0.64500000000000002</v>
      </c>
      <c r="J193" s="903">
        <v>0.64500000000000002</v>
      </c>
      <c r="K193" s="903">
        <v>0.64500000000000002</v>
      </c>
      <c r="L193" s="903">
        <v>0.64500000000000002</v>
      </c>
      <c r="M193" s="903">
        <v>0.64500000000000002</v>
      </c>
    </row>
    <row r="194" spans="1:13">
      <c r="A194" s="911">
        <v>9</v>
      </c>
      <c r="B194" s="903">
        <v>0.84150000000000003</v>
      </c>
      <c r="C194" s="903">
        <v>0.84150000000000003</v>
      </c>
      <c r="D194" s="903">
        <v>0.74070000000000003</v>
      </c>
      <c r="E194" s="903">
        <v>0.74070000000000003</v>
      </c>
      <c r="F194" s="903">
        <v>0.74070000000000003</v>
      </c>
      <c r="G194" s="903">
        <v>0.74070000000000003</v>
      </c>
      <c r="H194" s="903">
        <v>0.74070000000000003</v>
      </c>
      <c r="I194" s="903">
        <v>0.64349999999999996</v>
      </c>
      <c r="J194" s="903">
        <v>0.64349999999999996</v>
      </c>
      <c r="K194" s="903">
        <v>0.64349999999999996</v>
      </c>
      <c r="L194" s="903">
        <v>0.64349999999999996</v>
      </c>
      <c r="M194" s="903">
        <v>0.64349999999999996</v>
      </c>
    </row>
    <row r="195" spans="1:13">
      <c r="A195" s="911">
        <v>9.1</v>
      </c>
      <c r="B195" s="903">
        <v>0.84019999999999995</v>
      </c>
      <c r="C195" s="903">
        <v>0.84019999999999995</v>
      </c>
      <c r="D195" s="903">
        <v>0.73919999999999997</v>
      </c>
      <c r="E195" s="903">
        <v>0.73919999999999997</v>
      </c>
      <c r="F195" s="903">
        <v>0.73919999999999997</v>
      </c>
      <c r="G195" s="903">
        <v>0.73919999999999997</v>
      </c>
      <c r="H195" s="903">
        <v>0.73919999999999997</v>
      </c>
      <c r="I195" s="903">
        <v>0.64200000000000002</v>
      </c>
      <c r="J195" s="903">
        <v>0.64200000000000002</v>
      </c>
      <c r="K195" s="903">
        <v>0.64200000000000002</v>
      </c>
      <c r="L195" s="903">
        <v>0.64200000000000002</v>
      </c>
      <c r="M195" s="903">
        <v>0.64200000000000002</v>
      </c>
    </row>
    <row r="196" spans="1:13">
      <c r="A196" s="911">
        <v>9.1999999999999993</v>
      </c>
      <c r="B196" s="903">
        <v>0.83889999999999998</v>
      </c>
      <c r="C196" s="903">
        <v>0.83889999999999998</v>
      </c>
      <c r="D196" s="903">
        <v>0.73770000000000002</v>
      </c>
      <c r="E196" s="903">
        <v>0.73770000000000002</v>
      </c>
      <c r="F196" s="903">
        <v>0.73770000000000002</v>
      </c>
      <c r="G196" s="903">
        <v>0.73770000000000002</v>
      </c>
      <c r="H196" s="903">
        <v>0.73770000000000002</v>
      </c>
      <c r="I196" s="903">
        <v>0.64059999999999995</v>
      </c>
      <c r="J196" s="903">
        <v>0.64059999999999995</v>
      </c>
      <c r="K196" s="903">
        <v>0.64059999999999995</v>
      </c>
      <c r="L196" s="903">
        <v>0.64059999999999995</v>
      </c>
      <c r="M196" s="903">
        <v>0.64059999999999995</v>
      </c>
    </row>
    <row r="197" spans="1:13">
      <c r="A197" s="911">
        <v>9.3000000000000007</v>
      </c>
      <c r="B197" s="903">
        <v>0.83760000000000001</v>
      </c>
      <c r="C197" s="903">
        <v>0.83760000000000001</v>
      </c>
      <c r="D197" s="903">
        <v>0.73629999999999995</v>
      </c>
      <c r="E197" s="903">
        <v>0.73629999999999995</v>
      </c>
      <c r="F197" s="903">
        <v>0.73629999999999995</v>
      </c>
      <c r="G197" s="903">
        <v>0.73629999999999995</v>
      </c>
      <c r="H197" s="903">
        <v>0.73629999999999995</v>
      </c>
      <c r="I197" s="903">
        <v>0.63919999999999999</v>
      </c>
      <c r="J197" s="903">
        <v>0.63919999999999999</v>
      </c>
      <c r="K197" s="903">
        <v>0.63919999999999999</v>
      </c>
      <c r="L197" s="903">
        <v>0.63919999999999999</v>
      </c>
      <c r="M197" s="903">
        <v>0.63919999999999999</v>
      </c>
    </row>
    <row r="198" spans="1:13">
      <c r="A198" s="911">
        <v>9.4</v>
      </c>
      <c r="B198" s="903">
        <v>0.83630000000000004</v>
      </c>
      <c r="C198" s="903">
        <v>0.83630000000000004</v>
      </c>
      <c r="D198" s="903">
        <v>0.7349</v>
      </c>
      <c r="E198" s="903">
        <v>0.7349</v>
      </c>
      <c r="F198" s="903">
        <v>0.7349</v>
      </c>
      <c r="G198" s="903">
        <v>0.7349</v>
      </c>
      <c r="H198" s="903">
        <v>0.7349</v>
      </c>
      <c r="I198" s="903">
        <v>0.63780000000000003</v>
      </c>
      <c r="J198" s="903">
        <v>0.63780000000000003</v>
      </c>
      <c r="K198" s="903">
        <v>0.63780000000000003</v>
      </c>
      <c r="L198" s="903">
        <v>0.63780000000000003</v>
      </c>
      <c r="M198" s="903">
        <v>0.63780000000000003</v>
      </c>
    </row>
    <row r="199" spans="1:13">
      <c r="A199" s="911">
        <v>9.5</v>
      </c>
      <c r="B199" s="903">
        <v>0.83499999999999996</v>
      </c>
      <c r="C199" s="903">
        <v>0.83499999999999996</v>
      </c>
      <c r="D199" s="903">
        <v>0.73350000000000004</v>
      </c>
      <c r="E199" s="903">
        <v>0.73350000000000004</v>
      </c>
      <c r="F199" s="903">
        <v>0.73350000000000004</v>
      </c>
      <c r="G199" s="903">
        <v>0.73350000000000004</v>
      </c>
      <c r="H199" s="903">
        <v>0.73350000000000004</v>
      </c>
      <c r="I199" s="903">
        <v>0.63639999999999997</v>
      </c>
      <c r="J199" s="903">
        <v>0.63639999999999997</v>
      </c>
      <c r="K199" s="903">
        <v>0.63639999999999997</v>
      </c>
      <c r="L199" s="903">
        <v>0.63639999999999997</v>
      </c>
      <c r="M199" s="903">
        <v>0.63639999999999997</v>
      </c>
    </row>
    <row r="200" spans="1:13">
      <c r="A200" s="911">
        <v>9.6</v>
      </c>
      <c r="B200" s="903">
        <v>0.83379999999999999</v>
      </c>
      <c r="C200" s="903">
        <v>0.83379999999999999</v>
      </c>
      <c r="D200" s="903">
        <v>0.73209999999999997</v>
      </c>
      <c r="E200" s="903">
        <v>0.73209999999999997</v>
      </c>
      <c r="F200" s="903">
        <v>0.73209999999999997</v>
      </c>
      <c r="G200" s="903">
        <v>0.73209999999999997</v>
      </c>
      <c r="H200" s="903">
        <v>0.73209999999999997</v>
      </c>
      <c r="I200" s="903">
        <v>0.63500000000000001</v>
      </c>
      <c r="J200" s="903">
        <v>0.63500000000000001</v>
      </c>
      <c r="K200" s="903">
        <v>0.63500000000000001</v>
      </c>
      <c r="L200" s="903">
        <v>0.63500000000000001</v>
      </c>
      <c r="M200" s="903">
        <v>0.63500000000000001</v>
      </c>
    </row>
    <row r="201" spans="1:13">
      <c r="A201" s="911">
        <v>9.6999999999999993</v>
      </c>
      <c r="B201" s="903">
        <v>0.83260000000000001</v>
      </c>
      <c r="C201" s="903">
        <v>0.83260000000000001</v>
      </c>
      <c r="D201" s="903">
        <v>0.73070000000000002</v>
      </c>
      <c r="E201" s="903">
        <v>0.73070000000000002</v>
      </c>
      <c r="F201" s="903">
        <v>0.73070000000000002</v>
      </c>
      <c r="G201" s="903">
        <v>0.73070000000000002</v>
      </c>
      <c r="H201" s="903">
        <v>0.73070000000000002</v>
      </c>
      <c r="I201" s="903">
        <v>0.63360000000000005</v>
      </c>
      <c r="J201" s="903">
        <v>0.63360000000000005</v>
      </c>
      <c r="K201" s="903">
        <v>0.63360000000000005</v>
      </c>
      <c r="L201" s="903">
        <v>0.63360000000000005</v>
      </c>
      <c r="M201" s="903">
        <v>0.63360000000000005</v>
      </c>
    </row>
    <row r="202" spans="1:13">
      <c r="A202" s="911">
        <v>9.8000000000000007</v>
      </c>
      <c r="B202" s="903">
        <v>0.83140000000000003</v>
      </c>
      <c r="C202" s="903">
        <v>0.83140000000000003</v>
      </c>
      <c r="D202" s="903">
        <v>0.72929999999999995</v>
      </c>
      <c r="E202" s="903">
        <v>0.72929999999999995</v>
      </c>
      <c r="F202" s="903">
        <v>0.72929999999999995</v>
      </c>
      <c r="G202" s="903">
        <v>0.72929999999999995</v>
      </c>
      <c r="H202" s="903">
        <v>0.72929999999999995</v>
      </c>
      <c r="I202" s="903">
        <v>0.63219999999999998</v>
      </c>
      <c r="J202" s="903">
        <v>0.63219999999999998</v>
      </c>
      <c r="K202" s="903">
        <v>0.63219999999999998</v>
      </c>
      <c r="L202" s="903">
        <v>0.63219999999999998</v>
      </c>
      <c r="M202" s="903">
        <v>0.63219999999999998</v>
      </c>
    </row>
    <row r="203" spans="1:13">
      <c r="A203" s="911">
        <v>9.9</v>
      </c>
      <c r="B203" s="903">
        <v>0.83020000000000005</v>
      </c>
      <c r="C203" s="903">
        <v>0.83020000000000005</v>
      </c>
      <c r="D203" s="903">
        <v>0.72799999999999998</v>
      </c>
      <c r="E203" s="903">
        <v>0.72799999999999998</v>
      </c>
      <c r="F203" s="903">
        <v>0.72799999999999998</v>
      </c>
      <c r="G203" s="903">
        <v>0.72799999999999998</v>
      </c>
      <c r="H203" s="903">
        <v>0.72799999999999998</v>
      </c>
      <c r="I203" s="903">
        <v>0.63080000000000003</v>
      </c>
      <c r="J203" s="903">
        <v>0.63080000000000003</v>
      </c>
      <c r="K203" s="903">
        <v>0.63080000000000003</v>
      </c>
      <c r="L203" s="903">
        <v>0.63080000000000003</v>
      </c>
      <c r="M203" s="903">
        <v>0.63080000000000003</v>
      </c>
    </row>
    <row r="204" spans="1:13">
      <c r="A204" s="911">
        <v>10</v>
      </c>
      <c r="B204" s="903">
        <v>0.82899999999999996</v>
      </c>
      <c r="C204" s="903">
        <v>0.82899999999999996</v>
      </c>
      <c r="D204" s="903">
        <v>0.72670000000000001</v>
      </c>
      <c r="E204" s="903">
        <v>0.72670000000000001</v>
      </c>
      <c r="F204" s="903">
        <v>0.72670000000000001</v>
      </c>
      <c r="G204" s="903">
        <v>0.72670000000000001</v>
      </c>
      <c r="H204" s="903">
        <v>0.72670000000000001</v>
      </c>
      <c r="I204" s="903">
        <v>0.62939999999999996</v>
      </c>
      <c r="J204" s="903">
        <v>0.62939999999999996</v>
      </c>
      <c r="K204" s="903">
        <v>0.62939999999999996</v>
      </c>
      <c r="L204" s="903">
        <v>0.62939999999999996</v>
      </c>
      <c r="M204" s="903">
        <v>0.62939999999999996</v>
      </c>
    </row>
    <row r="205" spans="1:13" ht="14.25">
      <c r="A205" s="893" t="s">
        <v>749</v>
      </c>
      <c r="B205" s="894"/>
      <c r="C205" s="894"/>
      <c r="D205" s="894"/>
      <c r="E205" s="894"/>
      <c r="F205" s="894"/>
      <c r="G205" s="894"/>
      <c r="H205" s="894"/>
      <c r="I205" s="894"/>
      <c r="J205" s="894"/>
      <c r="K205" s="894"/>
      <c r="L205" s="894"/>
      <c r="M205" s="894"/>
    </row>
    <row r="206" spans="1:13">
      <c r="A206" s="896" t="s">
        <v>746</v>
      </c>
      <c r="B206" s="897" t="s">
        <v>157</v>
      </c>
      <c r="C206" s="897" t="s">
        <v>158</v>
      </c>
      <c r="D206" s="897" t="s">
        <v>159</v>
      </c>
      <c r="E206" s="897" t="s">
        <v>160</v>
      </c>
      <c r="F206" s="897" t="s">
        <v>161</v>
      </c>
      <c r="G206" s="897" t="s">
        <v>162</v>
      </c>
      <c r="H206" s="898" t="s">
        <v>163</v>
      </c>
      <c r="I206" s="898" t="s">
        <v>164</v>
      </c>
      <c r="J206" s="899" t="s">
        <v>165</v>
      </c>
      <c r="K206" s="899" t="s">
        <v>166</v>
      </c>
      <c r="L206" s="899" t="s">
        <v>167</v>
      </c>
      <c r="M206" s="899" t="s">
        <v>168</v>
      </c>
    </row>
    <row r="207" spans="1:13">
      <c r="A207" s="896">
        <v>0.1</v>
      </c>
      <c r="B207" s="903">
        <v>12.172000000000001</v>
      </c>
      <c r="C207" s="903">
        <v>12.172000000000001</v>
      </c>
      <c r="D207" s="903">
        <v>12.375999999999999</v>
      </c>
      <c r="E207" s="903">
        <v>12.375999999999999</v>
      </c>
      <c r="F207" s="903">
        <v>12.375999999999999</v>
      </c>
      <c r="G207" s="903">
        <v>12.375999999999999</v>
      </c>
      <c r="H207" s="903">
        <v>12.375999999999999</v>
      </c>
      <c r="I207" s="903">
        <v>11.071999999999999</v>
      </c>
      <c r="J207" s="903">
        <v>11.071999999999999</v>
      </c>
      <c r="K207" s="903">
        <v>11.071999999999999</v>
      </c>
      <c r="L207" s="903">
        <v>11.071999999999999</v>
      </c>
      <c r="M207" s="903">
        <v>11.071999999999999</v>
      </c>
    </row>
    <row r="208" spans="1:13">
      <c r="A208" s="896">
        <v>0.2</v>
      </c>
      <c r="B208" s="903">
        <v>6.0860000000000003</v>
      </c>
      <c r="C208" s="903">
        <v>6.0860000000000003</v>
      </c>
      <c r="D208" s="903">
        <v>6.1879999999999997</v>
      </c>
      <c r="E208" s="903">
        <v>6.1879999999999997</v>
      </c>
      <c r="F208" s="903">
        <v>6.1879999999999997</v>
      </c>
      <c r="G208" s="903">
        <v>6.1879999999999997</v>
      </c>
      <c r="H208" s="903">
        <v>6.1879999999999997</v>
      </c>
      <c r="I208" s="903">
        <v>5.5359999999999996</v>
      </c>
      <c r="J208" s="903">
        <v>5.5359999999999996</v>
      </c>
      <c r="K208" s="903">
        <v>5.5359999999999996</v>
      </c>
      <c r="L208" s="903">
        <v>5.5359999999999996</v>
      </c>
      <c r="M208" s="903">
        <v>5.5359999999999996</v>
      </c>
    </row>
    <row r="209" spans="1:13">
      <c r="A209" s="896">
        <v>0.3</v>
      </c>
      <c r="B209" s="903">
        <v>4.0572999999999997</v>
      </c>
      <c r="C209" s="903">
        <v>4.0572999999999997</v>
      </c>
      <c r="D209" s="903">
        <v>4.1253000000000002</v>
      </c>
      <c r="E209" s="903">
        <v>4.1253000000000002</v>
      </c>
      <c r="F209" s="903">
        <v>4.1253000000000002</v>
      </c>
      <c r="G209" s="903">
        <v>4.1253000000000002</v>
      </c>
      <c r="H209" s="903">
        <v>4.1253000000000002</v>
      </c>
      <c r="I209" s="903">
        <v>3.6907000000000001</v>
      </c>
      <c r="J209" s="903">
        <v>3.6907000000000001</v>
      </c>
      <c r="K209" s="903">
        <v>3.6907000000000001</v>
      </c>
      <c r="L209" s="903">
        <v>3.6907000000000001</v>
      </c>
      <c r="M209" s="903">
        <v>3.6907000000000001</v>
      </c>
    </row>
    <row r="210" spans="1:13">
      <c r="A210" s="896">
        <v>0.4</v>
      </c>
      <c r="B210" s="903">
        <v>3.0430000000000001</v>
      </c>
      <c r="C210" s="903">
        <v>3.0430000000000001</v>
      </c>
      <c r="D210" s="903">
        <v>3.0939999999999999</v>
      </c>
      <c r="E210" s="903">
        <v>3.0939999999999999</v>
      </c>
      <c r="F210" s="903">
        <v>3.0939999999999999</v>
      </c>
      <c r="G210" s="903">
        <v>3.0939999999999999</v>
      </c>
      <c r="H210" s="903">
        <v>3.0939999999999999</v>
      </c>
      <c r="I210" s="903">
        <v>2.7679999999999998</v>
      </c>
      <c r="J210" s="903">
        <v>2.7679999999999998</v>
      </c>
      <c r="K210" s="903">
        <v>2.7679999999999998</v>
      </c>
      <c r="L210" s="903">
        <v>2.7679999999999998</v>
      </c>
      <c r="M210" s="903">
        <v>2.7679999999999998</v>
      </c>
    </row>
    <row r="211" spans="1:13">
      <c r="A211" s="896">
        <v>0.5</v>
      </c>
      <c r="B211" s="903">
        <v>2.4344000000000001</v>
      </c>
      <c r="C211" s="903">
        <v>2.4344000000000001</v>
      </c>
      <c r="D211" s="903">
        <v>2.4752000000000001</v>
      </c>
      <c r="E211" s="903">
        <v>2.4752000000000001</v>
      </c>
      <c r="F211" s="903">
        <v>2.4752000000000001</v>
      </c>
      <c r="G211" s="903">
        <v>2.4752000000000001</v>
      </c>
      <c r="H211" s="903">
        <v>2.4752000000000001</v>
      </c>
      <c r="I211" s="903">
        <v>2.2143999999999999</v>
      </c>
      <c r="J211" s="903">
        <v>2.2143999999999999</v>
      </c>
      <c r="K211" s="903">
        <v>2.2143999999999999</v>
      </c>
      <c r="L211" s="903">
        <v>2.2143999999999999</v>
      </c>
      <c r="M211" s="903">
        <v>2.2143999999999999</v>
      </c>
    </row>
    <row r="212" spans="1:13">
      <c r="A212" s="896">
        <v>0.6</v>
      </c>
      <c r="B212" s="903">
        <v>2.0287000000000002</v>
      </c>
      <c r="C212" s="903">
        <v>2.0287000000000002</v>
      </c>
      <c r="D212" s="903">
        <v>2.0627</v>
      </c>
      <c r="E212" s="903">
        <v>2.0627</v>
      </c>
      <c r="F212" s="903">
        <v>2.0627</v>
      </c>
      <c r="G212" s="903">
        <v>2.0627</v>
      </c>
      <c r="H212" s="903">
        <v>2.0627</v>
      </c>
      <c r="I212" s="903">
        <v>1.8452999999999999</v>
      </c>
      <c r="J212" s="903">
        <v>1.8452999999999999</v>
      </c>
      <c r="K212" s="903">
        <v>1.8452999999999999</v>
      </c>
      <c r="L212" s="903">
        <v>1.8452999999999999</v>
      </c>
      <c r="M212" s="903">
        <v>1.8452999999999999</v>
      </c>
    </row>
    <row r="213" spans="1:13">
      <c r="A213" s="896">
        <v>0.7</v>
      </c>
      <c r="B213" s="903">
        <v>1.7388999999999999</v>
      </c>
      <c r="C213" s="903">
        <v>1.7388999999999999</v>
      </c>
      <c r="D213" s="903">
        <v>1.768</v>
      </c>
      <c r="E213" s="903">
        <v>1.768</v>
      </c>
      <c r="F213" s="903">
        <v>1.768</v>
      </c>
      <c r="G213" s="903">
        <v>1.768</v>
      </c>
      <c r="H213" s="903">
        <v>1.768</v>
      </c>
      <c r="I213" s="903">
        <v>1.5817000000000001</v>
      </c>
      <c r="J213" s="903">
        <v>1.5817000000000001</v>
      </c>
      <c r="K213" s="903">
        <v>1.5817000000000001</v>
      </c>
      <c r="L213" s="903">
        <v>1.5817000000000001</v>
      </c>
      <c r="M213" s="903">
        <v>1.5817000000000001</v>
      </c>
    </row>
    <row r="214" spans="1:13">
      <c r="A214" s="896">
        <v>0.8</v>
      </c>
      <c r="B214" s="903">
        <v>1.5215000000000001</v>
      </c>
      <c r="C214" s="903">
        <v>1.5215000000000001</v>
      </c>
      <c r="D214" s="903">
        <v>1.5469999999999999</v>
      </c>
      <c r="E214" s="903">
        <v>1.5469999999999999</v>
      </c>
      <c r="F214" s="903">
        <v>1.5469999999999999</v>
      </c>
      <c r="G214" s="903">
        <v>1.5469999999999999</v>
      </c>
      <c r="H214" s="903">
        <v>1.5469999999999999</v>
      </c>
      <c r="I214" s="903">
        <v>1.3839999999999999</v>
      </c>
      <c r="J214" s="903">
        <v>1.3839999999999999</v>
      </c>
      <c r="K214" s="903">
        <v>1.3839999999999999</v>
      </c>
      <c r="L214" s="903">
        <v>1.3839999999999999</v>
      </c>
      <c r="M214" s="903">
        <v>1.3839999999999999</v>
      </c>
    </row>
    <row r="215" spans="1:13">
      <c r="A215" s="896">
        <v>0.9</v>
      </c>
      <c r="B215" s="903">
        <v>1.3524</v>
      </c>
      <c r="C215" s="903">
        <v>1.3524</v>
      </c>
      <c r="D215" s="903">
        <v>1.3751</v>
      </c>
      <c r="E215" s="903">
        <v>1.3751</v>
      </c>
      <c r="F215" s="903">
        <v>1.3751</v>
      </c>
      <c r="G215" s="903">
        <v>1.3751</v>
      </c>
      <c r="H215" s="903">
        <v>1.3751</v>
      </c>
      <c r="I215" s="903">
        <v>1.2302</v>
      </c>
      <c r="J215" s="903">
        <v>1.2302</v>
      </c>
      <c r="K215" s="903">
        <v>1.2302</v>
      </c>
      <c r="L215" s="903">
        <v>1.2302</v>
      </c>
      <c r="M215" s="903">
        <v>1.2302</v>
      </c>
    </row>
    <row r="216" spans="1:13">
      <c r="A216" s="896">
        <v>1</v>
      </c>
      <c r="B216" s="903">
        <v>1.2172000000000001</v>
      </c>
      <c r="C216" s="903">
        <v>1.2172000000000001</v>
      </c>
      <c r="D216" s="903">
        <v>1.2376</v>
      </c>
      <c r="E216" s="903">
        <v>1.2376</v>
      </c>
      <c r="F216" s="903">
        <v>1.2376</v>
      </c>
      <c r="G216" s="903">
        <v>1.2376</v>
      </c>
      <c r="H216" s="903">
        <v>1.2376</v>
      </c>
      <c r="I216" s="903">
        <v>1.1072</v>
      </c>
      <c r="J216" s="903">
        <v>1.1072</v>
      </c>
      <c r="K216" s="903">
        <v>1.1072</v>
      </c>
      <c r="L216" s="903">
        <v>1.1072</v>
      </c>
      <c r="M216" s="903">
        <v>1.1072</v>
      </c>
    </row>
    <row r="217" spans="1:13">
      <c r="A217" s="896">
        <v>1.1000000000000001</v>
      </c>
      <c r="B217" s="903">
        <v>1.198</v>
      </c>
      <c r="C217" s="903">
        <v>1.198</v>
      </c>
      <c r="D217" s="903">
        <v>1.2156</v>
      </c>
      <c r="E217" s="903">
        <v>1.2156</v>
      </c>
      <c r="F217" s="903">
        <v>1.2156</v>
      </c>
      <c r="G217" s="903">
        <v>1.2156</v>
      </c>
      <c r="H217" s="903">
        <v>1.2156</v>
      </c>
      <c r="I217" s="903">
        <v>1.0829</v>
      </c>
      <c r="J217" s="903">
        <v>1.0829</v>
      </c>
      <c r="K217" s="903">
        <v>1.0829</v>
      </c>
      <c r="L217" s="903">
        <v>1.0829</v>
      </c>
      <c r="M217" s="903">
        <v>1.0829</v>
      </c>
    </row>
    <row r="218" spans="1:13">
      <c r="A218" s="896">
        <v>1.2</v>
      </c>
      <c r="B218" s="903">
        <v>1.1795</v>
      </c>
      <c r="C218" s="903">
        <v>1.1795</v>
      </c>
      <c r="D218" s="903">
        <v>1.1947000000000001</v>
      </c>
      <c r="E218" s="903">
        <v>1.1947000000000001</v>
      </c>
      <c r="F218" s="903">
        <v>1.1947000000000001</v>
      </c>
      <c r="G218" s="903">
        <v>1.1947000000000001</v>
      </c>
      <c r="H218" s="903">
        <v>1.1947000000000001</v>
      </c>
      <c r="I218" s="903">
        <v>1.0601</v>
      </c>
      <c r="J218" s="903">
        <v>1.0601</v>
      </c>
      <c r="K218" s="903">
        <v>1.0601</v>
      </c>
      <c r="L218" s="903">
        <v>1.0601</v>
      </c>
      <c r="M218" s="903">
        <v>1.0601</v>
      </c>
    </row>
    <row r="219" spans="1:13">
      <c r="A219" s="896">
        <v>1.3</v>
      </c>
      <c r="B219" s="903">
        <v>1.1617999999999999</v>
      </c>
      <c r="C219" s="903">
        <v>1.1617999999999999</v>
      </c>
      <c r="D219" s="903">
        <v>1.1748000000000001</v>
      </c>
      <c r="E219" s="903">
        <v>1.1748000000000001</v>
      </c>
      <c r="F219" s="903">
        <v>1.1748000000000001</v>
      </c>
      <c r="G219" s="903">
        <v>1.1748000000000001</v>
      </c>
      <c r="H219" s="903">
        <v>1.1748000000000001</v>
      </c>
      <c r="I219" s="903">
        <v>1.0387999999999999</v>
      </c>
      <c r="J219" s="903">
        <v>1.0387999999999999</v>
      </c>
      <c r="K219" s="903">
        <v>1.0387999999999999</v>
      </c>
      <c r="L219" s="903">
        <v>1.0387999999999999</v>
      </c>
      <c r="M219" s="903">
        <v>1.0387999999999999</v>
      </c>
    </row>
    <row r="220" spans="1:13">
      <c r="A220" s="896">
        <v>1.4</v>
      </c>
      <c r="B220" s="903">
        <v>1.1448</v>
      </c>
      <c r="C220" s="903">
        <v>1.1448</v>
      </c>
      <c r="D220" s="903">
        <v>1.1557999999999999</v>
      </c>
      <c r="E220" s="903">
        <v>1.1557999999999999</v>
      </c>
      <c r="F220" s="903">
        <v>1.1557999999999999</v>
      </c>
      <c r="G220" s="903">
        <v>1.1557999999999999</v>
      </c>
      <c r="H220" s="903">
        <v>1.1557999999999999</v>
      </c>
      <c r="I220" s="903">
        <v>1.0187999999999999</v>
      </c>
      <c r="J220" s="903">
        <v>1.0187999999999999</v>
      </c>
      <c r="K220" s="903">
        <v>1.0187999999999999</v>
      </c>
      <c r="L220" s="903">
        <v>1.0187999999999999</v>
      </c>
      <c r="M220" s="903">
        <v>1.0187999999999999</v>
      </c>
    </row>
    <row r="221" spans="1:13">
      <c r="A221" s="896">
        <v>1.5</v>
      </c>
      <c r="B221" s="903">
        <v>1.1285000000000001</v>
      </c>
      <c r="C221" s="903">
        <v>1.1285000000000001</v>
      </c>
      <c r="D221" s="903">
        <v>1.1377999999999999</v>
      </c>
      <c r="E221" s="903">
        <v>1.1377999999999999</v>
      </c>
      <c r="F221" s="903">
        <v>1.1377999999999999</v>
      </c>
      <c r="G221" s="903">
        <v>1.1377999999999999</v>
      </c>
      <c r="H221" s="903">
        <v>1.1377999999999999</v>
      </c>
      <c r="I221" s="903">
        <v>1</v>
      </c>
      <c r="J221" s="903">
        <v>1</v>
      </c>
      <c r="K221" s="903">
        <v>1</v>
      </c>
      <c r="L221" s="903">
        <v>1</v>
      </c>
      <c r="M221" s="903">
        <v>1</v>
      </c>
    </row>
    <row r="222" spans="1:13">
      <c r="A222" s="896">
        <v>1.6</v>
      </c>
      <c r="B222" s="903">
        <v>1.1129</v>
      </c>
      <c r="C222" s="903">
        <v>1.1129</v>
      </c>
      <c r="D222" s="903">
        <v>1.1206</v>
      </c>
      <c r="E222" s="903">
        <v>1.1206</v>
      </c>
      <c r="F222" s="903">
        <v>1.1206</v>
      </c>
      <c r="G222" s="903">
        <v>1.1206</v>
      </c>
      <c r="H222" s="903">
        <v>1.1206</v>
      </c>
      <c r="I222" s="903">
        <v>0.98240000000000005</v>
      </c>
      <c r="J222" s="903">
        <v>0.98240000000000005</v>
      </c>
      <c r="K222" s="903">
        <v>0.98240000000000005</v>
      </c>
      <c r="L222" s="903">
        <v>0.98240000000000005</v>
      </c>
      <c r="M222" s="903">
        <v>0.98240000000000005</v>
      </c>
    </row>
    <row r="223" spans="1:13">
      <c r="A223" s="896">
        <v>1.7</v>
      </c>
      <c r="B223" s="903">
        <v>1.0980000000000001</v>
      </c>
      <c r="C223" s="903">
        <v>1.0980000000000001</v>
      </c>
      <c r="D223" s="903">
        <v>1.1043000000000001</v>
      </c>
      <c r="E223" s="903">
        <v>1.1043000000000001</v>
      </c>
      <c r="F223" s="903">
        <v>1.1043000000000001</v>
      </c>
      <c r="G223" s="903">
        <v>1.1043000000000001</v>
      </c>
      <c r="H223" s="903">
        <v>1.1043000000000001</v>
      </c>
      <c r="I223" s="903">
        <v>0.96579999999999999</v>
      </c>
      <c r="J223" s="903">
        <v>0.96579999999999999</v>
      </c>
      <c r="K223" s="903">
        <v>0.96579999999999999</v>
      </c>
      <c r="L223" s="903">
        <v>0.96579999999999999</v>
      </c>
      <c r="M223" s="903">
        <v>0.96579999999999999</v>
      </c>
    </row>
    <row r="224" spans="1:13">
      <c r="A224" s="896">
        <v>1.8</v>
      </c>
      <c r="B224" s="903">
        <v>1.0835999999999999</v>
      </c>
      <c r="C224" s="903">
        <v>1.0835999999999999</v>
      </c>
      <c r="D224" s="903">
        <v>1.0888</v>
      </c>
      <c r="E224" s="903">
        <v>1.0888</v>
      </c>
      <c r="F224" s="903">
        <v>1.0888</v>
      </c>
      <c r="G224" s="903">
        <v>1.0888</v>
      </c>
      <c r="H224" s="903">
        <v>1.0888</v>
      </c>
      <c r="I224" s="903">
        <v>0.95030000000000003</v>
      </c>
      <c r="J224" s="903">
        <v>0.95030000000000003</v>
      </c>
      <c r="K224" s="903">
        <v>0.95030000000000003</v>
      </c>
      <c r="L224" s="903">
        <v>0.95030000000000003</v>
      </c>
      <c r="M224" s="903">
        <v>0.95030000000000003</v>
      </c>
    </row>
    <row r="225" spans="1:13">
      <c r="A225" s="896">
        <v>1.9</v>
      </c>
      <c r="B225" s="903">
        <v>1.0698000000000001</v>
      </c>
      <c r="C225" s="903">
        <v>1.0698000000000001</v>
      </c>
      <c r="D225" s="903">
        <v>1.0741000000000001</v>
      </c>
      <c r="E225" s="903">
        <v>1.0741000000000001</v>
      </c>
      <c r="F225" s="903">
        <v>1.0741000000000001</v>
      </c>
      <c r="G225" s="903">
        <v>1.0741000000000001</v>
      </c>
      <c r="H225" s="903">
        <v>1.0741000000000001</v>
      </c>
      <c r="I225" s="903">
        <v>0.93610000000000004</v>
      </c>
      <c r="J225" s="903">
        <v>0.93610000000000004</v>
      </c>
      <c r="K225" s="903">
        <v>0.93610000000000004</v>
      </c>
      <c r="L225" s="903">
        <v>0.93610000000000004</v>
      </c>
      <c r="M225" s="903">
        <v>0.93610000000000004</v>
      </c>
    </row>
    <row r="226" spans="1:13">
      <c r="A226" s="896">
        <v>2</v>
      </c>
      <c r="B226" s="903">
        <v>1.0568</v>
      </c>
      <c r="C226" s="903">
        <v>1.0568</v>
      </c>
      <c r="D226" s="903">
        <v>1.0601</v>
      </c>
      <c r="E226" s="903">
        <v>1.0601</v>
      </c>
      <c r="F226" s="903">
        <v>1.0601</v>
      </c>
      <c r="G226" s="903">
        <v>1.0601</v>
      </c>
      <c r="H226" s="903">
        <v>1.0601</v>
      </c>
      <c r="I226" s="903">
        <v>0.9224</v>
      </c>
      <c r="J226" s="903">
        <v>0.9224</v>
      </c>
      <c r="K226" s="903">
        <v>0.9224</v>
      </c>
      <c r="L226" s="903">
        <v>0.9224</v>
      </c>
      <c r="M226" s="903">
        <v>0.9224</v>
      </c>
    </row>
    <row r="227" spans="1:13">
      <c r="A227" s="911">
        <v>2.1</v>
      </c>
      <c r="B227" s="903">
        <v>1.0443</v>
      </c>
      <c r="C227" s="903">
        <v>1.0443</v>
      </c>
      <c r="D227" s="903">
        <v>1.0468</v>
      </c>
      <c r="E227" s="903">
        <v>1.0468</v>
      </c>
      <c r="F227" s="903">
        <v>1.0468</v>
      </c>
      <c r="G227" s="903">
        <v>1.0468</v>
      </c>
      <c r="H227" s="903">
        <v>1.0468</v>
      </c>
      <c r="I227" s="903">
        <v>0.90959999999999996</v>
      </c>
      <c r="J227" s="903">
        <v>0.90959999999999996</v>
      </c>
      <c r="K227" s="903">
        <v>0.90959999999999996</v>
      </c>
      <c r="L227" s="903">
        <v>0.90959999999999996</v>
      </c>
      <c r="M227" s="903">
        <v>0.90959999999999996</v>
      </c>
    </row>
    <row r="228" spans="1:13">
      <c r="A228" s="911">
        <v>2.2000000000000002</v>
      </c>
      <c r="B228" s="903">
        <v>1.0325</v>
      </c>
      <c r="C228" s="903">
        <v>1.0325</v>
      </c>
      <c r="D228" s="903">
        <v>1.0342</v>
      </c>
      <c r="E228" s="903">
        <v>1.0342</v>
      </c>
      <c r="F228" s="903">
        <v>1.0342</v>
      </c>
      <c r="G228" s="903">
        <v>1.0342</v>
      </c>
      <c r="H228" s="903">
        <v>1.0342</v>
      </c>
      <c r="I228" s="903">
        <v>0.89749999999999996</v>
      </c>
      <c r="J228" s="903">
        <v>0.89749999999999996</v>
      </c>
      <c r="K228" s="903">
        <v>0.89749999999999996</v>
      </c>
      <c r="L228" s="903">
        <v>0.89749999999999996</v>
      </c>
      <c r="M228" s="903">
        <v>0.89749999999999996</v>
      </c>
    </row>
    <row r="229" spans="1:13">
      <c r="A229" s="911">
        <v>2.2999999999999998</v>
      </c>
      <c r="B229" s="903">
        <v>1.0209999999999999</v>
      </c>
      <c r="C229" s="903">
        <v>1.0209999999999999</v>
      </c>
      <c r="D229" s="903">
        <v>1.0222</v>
      </c>
      <c r="E229" s="903">
        <v>1.0222</v>
      </c>
      <c r="F229" s="903">
        <v>1.0222</v>
      </c>
      <c r="G229" s="903">
        <v>1.0222</v>
      </c>
      <c r="H229" s="903">
        <v>1.0222</v>
      </c>
      <c r="I229" s="903">
        <v>0.88619999999999999</v>
      </c>
      <c r="J229" s="903">
        <v>0.88619999999999999</v>
      </c>
      <c r="K229" s="903">
        <v>0.88619999999999999</v>
      </c>
      <c r="L229" s="903">
        <v>0.88619999999999999</v>
      </c>
      <c r="M229" s="903">
        <v>0.88619999999999999</v>
      </c>
    </row>
    <row r="230" spans="1:13">
      <c r="A230" s="911">
        <v>2.4</v>
      </c>
      <c r="B230" s="903">
        <v>1.0102</v>
      </c>
      <c r="C230" s="903">
        <v>1.0102</v>
      </c>
      <c r="D230" s="903">
        <v>1.0107999999999999</v>
      </c>
      <c r="E230" s="903">
        <v>1.0107999999999999</v>
      </c>
      <c r="F230" s="903">
        <v>1.0107999999999999</v>
      </c>
      <c r="G230" s="903">
        <v>1.0107999999999999</v>
      </c>
      <c r="H230" s="903">
        <v>1.0107999999999999</v>
      </c>
      <c r="I230" s="903">
        <v>0.87529999999999997</v>
      </c>
      <c r="J230" s="903">
        <v>0.87529999999999997</v>
      </c>
      <c r="K230" s="903">
        <v>0.87529999999999997</v>
      </c>
      <c r="L230" s="903">
        <v>0.87529999999999997</v>
      </c>
      <c r="M230" s="903">
        <v>0.87529999999999997</v>
      </c>
    </row>
    <row r="231" spans="1:13">
      <c r="A231" s="911">
        <v>2.5</v>
      </c>
      <c r="B231" s="903">
        <v>1</v>
      </c>
      <c r="C231" s="903">
        <v>1</v>
      </c>
      <c r="D231" s="903">
        <v>1</v>
      </c>
      <c r="E231" s="903">
        <v>1</v>
      </c>
      <c r="F231" s="903">
        <v>1</v>
      </c>
      <c r="G231" s="903">
        <v>1</v>
      </c>
      <c r="H231" s="903">
        <v>1</v>
      </c>
      <c r="I231" s="903">
        <v>0.86509999999999998</v>
      </c>
      <c r="J231" s="903">
        <v>0.86509999999999998</v>
      </c>
      <c r="K231" s="903">
        <v>0.86509999999999998</v>
      </c>
      <c r="L231" s="903">
        <v>0.86509999999999998</v>
      </c>
      <c r="M231" s="903">
        <v>0.86509999999999998</v>
      </c>
    </row>
    <row r="232" spans="1:13">
      <c r="A232" s="911">
        <v>2.6</v>
      </c>
      <c r="B232" s="903">
        <v>0.99029999999999996</v>
      </c>
      <c r="C232" s="903">
        <v>0.99029999999999996</v>
      </c>
      <c r="D232" s="903">
        <v>0.98970000000000002</v>
      </c>
      <c r="E232" s="903">
        <v>0.98970000000000002</v>
      </c>
      <c r="F232" s="903">
        <v>0.98970000000000002</v>
      </c>
      <c r="G232" s="903">
        <v>0.98970000000000002</v>
      </c>
      <c r="H232" s="903">
        <v>0.98970000000000002</v>
      </c>
      <c r="I232" s="903">
        <v>0.85529999999999995</v>
      </c>
      <c r="J232" s="903">
        <v>0.85529999999999995</v>
      </c>
      <c r="K232" s="903">
        <v>0.85529999999999995</v>
      </c>
      <c r="L232" s="903">
        <v>0.85529999999999995</v>
      </c>
      <c r="M232" s="903">
        <v>0.85529999999999995</v>
      </c>
    </row>
    <row r="233" spans="1:13">
      <c r="A233" s="911">
        <v>2.7</v>
      </c>
      <c r="B233" s="903">
        <v>0.98109999999999997</v>
      </c>
      <c r="C233" s="903">
        <v>0.98109999999999997</v>
      </c>
      <c r="D233" s="903">
        <v>0.97989999999999999</v>
      </c>
      <c r="E233" s="903">
        <v>0.97989999999999999</v>
      </c>
      <c r="F233" s="903">
        <v>0.97989999999999999</v>
      </c>
      <c r="G233" s="903">
        <v>0.97989999999999999</v>
      </c>
      <c r="H233" s="903">
        <v>0.97989999999999999</v>
      </c>
      <c r="I233" s="903">
        <v>0.84599999999999997</v>
      </c>
      <c r="J233" s="903">
        <v>0.84599999999999997</v>
      </c>
      <c r="K233" s="903">
        <v>0.84599999999999997</v>
      </c>
      <c r="L233" s="903">
        <v>0.84599999999999997</v>
      </c>
      <c r="M233" s="903">
        <v>0.84599999999999997</v>
      </c>
    </row>
    <row r="234" spans="1:13">
      <c r="A234" s="911">
        <v>2.8</v>
      </c>
      <c r="B234" s="903">
        <v>0.97240000000000004</v>
      </c>
      <c r="C234" s="903">
        <v>0.97240000000000004</v>
      </c>
      <c r="D234" s="903">
        <v>0.97060000000000002</v>
      </c>
      <c r="E234" s="903">
        <v>0.97060000000000002</v>
      </c>
      <c r="F234" s="903">
        <v>0.97060000000000002</v>
      </c>
      <c r="G234" s="903">
        <v>0.97060000000000002</v>
      </c>
      <c r="H234" s="903">
        <v>0.97060000000000002</v>
      </c>
      <c r="I234" s="903">
        <v>0.83709999999999996</v>
      </c>
      <c r="J234" s="903">
        <v>0.83709999999999996</v>
      </c>
      <c r="K234" s="903">
        <v>0.83709999999999996</v>
      </c>
      <c r="L234" s="903">
        <v>0.83709999999999996</v>
      </c>
      <c r="M234" s="903">
        <v>0.83709999999999996</v>
      </c>
    </row>
    <row r="235" spans="1:13">
      <c r="A235" s="911">
        <v>2.9</v>
      </c>
      <c r="B235" s="903">
        <v>0.96419999999999995</v>
      </c>
      <c r="C235" s="903">
        <v>0.96419999999999995</v>
      </c>
      <c r="D235" s="903">
        <v>0.96179999999999999</v>
      </c>
      <c r="E235" s="903">
        <v>0.96179999999999999</v>
      </c>
      <c r="F235" s="903">
        <v>0.96179999999999999</v>
      </c>
      <c r="G235" s="903">
        <v>0.96179999999999999</v>
      </c>
      <c r="H235" s="903">
        <v>0.96179999999999999</v>
      </c>
      <c r="I235" s="903">
        <v>0.82850000000000001</v>
      </c>
      <c r="J235" s="903">
        <v>0.82850000000000001</v>
      </c>
      <c r="K235" s="903">
        <v>0.82850000000000001</v>
      </c>
      <c r="L235" s="903">
        <v>0.82850000000000001</v>
      </c>
      <c r="M235" s="903">
        <v>0.82850000000000001</v>
      </c>
    </row>
    <row r="236" spans="1:13">
      <c r="A236" s="911">
        <v>3</v>
      </c>
      <c r="B236" s="903">
        <v>0.95640000000000003</v>
      </c>
      <c r="C236" s="903">
        <v>0.95640000000000003</v>
      </c>
      <c r="D236" s="903">
        <v>0.95340000000000003</v>
      </c>
      <c r="E236" s="903">
        <v>0.95340000000000003</v>
      </c>
      <c r="F236" s="903">
        <v>0.95340000000000003</v>
      </c>
      <c r="G236" s="903">
        <v>0.95340000000000003</v>
      </c>
      <c r="H236" s="903">
        <v>0.95340000000000003</v>
      </c>
      <c r="I236" s="903">
        <v>0.82040000000000002</v>
      </c>
      <c r="J236" s="903">
        <v>0.82040000000000002</v>
      </c>
      <c r="K236" s="903">
        <v>0.82040000000000002</v>
      </c>
      <c r="L236" s="903">
        <v>0.82040000000000002</v>
      </c>
      <c r="M236" s="903">
        <v>0.82040000000000002</v>
      </c>
    </row>
    <row r="237" spans="1:13">
      <c r="A237" s="911">
        <v>3.1</v>
      </c>
      <c r="B237" s="903">
        <v>0.94899999999999995</v>
      </c>
      <c r="C237" s="903">
        <v>0.94899999999999995</v>
      </c>
      <c r="D237" s="903">
        <v>0.94550000000000001</v>
      </c>
      <c r="E237" s="903">
        <v>0.94550000000000001</v>
      </c>
      <c r="F237" s="903">
        <v>0.94550000000000001</v>
      </c>
      <c r="G237" s="903">
        <v>0.94550000000000001</v>
      </c>
      <c r="H237" s="903">
        <v>0.94550000000000001</v>
      </c>
      <c r="I237" s="903">
        <v>0.81259999999999999</v>
      </c>
      <c r="J237" s="903">
        <v>0.81259999999999999</v>
      </c>
      <c r="K237" s="903">
        <v>0.81259999999999999</v>
      </c>
      <c r="L237" s="903">
        <v>0.81259999999999999</v>
      </c>
      <c r="M237" s="903">
        <v>0.81259999999999999</v>
      </c>
    </row>
    <row r="238" spans="1:13">
      <c r="A238" s="911">
        <v>3.2</v>
      </c>
      <c r="B238" s="903">
        <v>0.94199999999999995</v>
      </c>
      <c r="C238" s="903">
        <v>0.94199999999999995</v>
      </c>
      <c r="D238" s="903">
        <v>0.93789999999999996</v>
      </c>
      <c r="E238" s="903">
        <v>0.93789999999999996</v>
      </c>
      <c r="F238" s="903">
        <v>0.93789999999999996</v>
      </c>
      <c r="G238" s="903">
        <v>0.93789999999999996</v>
      </c>
      <c r="H238" s="903">
        <v>0.93789999999999996</v>
      </c>
      <c r="I238" s="903">
        <v>0.80530000000000002</v>
      </c>
      <c r="J238" s="903">
        <v>0.80530000000000002</v>
      </c>
      <c r="K238" s="903">
        <v>0.80530000000000002</v>
      </c>
      <c r="L238" s="903">
        <v>0.80530000000000002</v>
      </c>
      <c r="M238" s="903">
        <v>0.80530000000000002</v>
      </c>
    </row>
    <row r="239" spans="1:13">
      <c r="A239" s="911">
        <v>3.3</v>
      </c>
      <c r="B239" s="903">
        <v>0.93540000000000001</v>
      </c>
      <c r="C239" s="903">
        <v>0.93540000000000001</v>
      </c>
      <c r="D239" s="903">
        <v>0.93069999999999997</v>
      </c>
      <c r="E239" s="903">
        <v>0.93069999999999997</v>
      </c>
      <c r="F239" s="903">
        <v>0.93069999999999997</v>
      </c>
      <c r="G239" s="903">
        <v>0.93069999999999997</v>
      </c>
      <c r="H239" s="903">
        <v>0.93069999999999997</v>
      </c>
      <c r="I239" s="903">
        <v>0.79820000000000002</v>
      </c>
      <c r="J239" s="903">
        <v>0.79820000000000002</v>
      </c>
      <c r="K239" s="903">
        <v>0.79820000000000002</v>
      </c>
      <c r="L239" s="903">
        <v>0.79820000000000002</v>
      </c>
      <c r="M239" s="903">
        <v>0.79820000000000002</v>
      </c>
    </row>
    <row r="240" spans="1:13">
      <c r="A240" s="911">
        <v>3.4</v>
      </c>
      <c r="B240" s="903">
        <v>0.92920000000000003</v>
      </c>
      <c r="C240" s="903">
        <v>0.92920000000000003</v>
      </c>
      <c r="D240" s="903">
        <v>0.92390000000000005</v>
      </c>
      <c r="E240" s="903">
        <v>0.92390000000000005</v>
      </c>
      <c r="F240" s="903">
        <v>0.92390000000000005</v>
      </c>
      <c r="G240" s="903">
        <v>0.92390000000000005</v>
      </c>
      <c r="H240" s="903">
        <v>0.92390000000000005</v>
      </c>
      <c r="I240" s="903">
        <v>0.79139999999999999</v>
      </c>
      <c r="J240" s="903">
        <v>0.79139999999999999</v>
      </c>
      <c r="K240" s="903">
        <v>0.79139999999999999</v>
      </c>
      <c r="L240" s="903">
        <v>0.79139999999999999</v>
      </c>
      <c r="M240" s="903">
        <v>0.79139999999999999</v>
      </c>
    </row>
    <row r="241" spans="1:13">
      <c r="A241" s="911">
        <v>3.5</v>
      </c>
      <c r="B241" s="903">
        <v>0.9234</v>
      </c>
      <c r="C241" s="903">
        <v>0.9234</v>
      </c>
      <c r="D241" s="903">
        <v>0.91749999999999998</v>
      </c>
      <c r="E241" s="903">
        <v>0.91749999999999998</v>
      </c>
      <c r="F241" s="903">
        <v>0.91749999999999998</v>
      </c>
      <c r="G241" s="903">
        <v>0.91749999999999998</v>
      </c>
      <c r="H241" s="903">
        <v>0.91749999999999998</v>
      </c>
      <c r="I241" s="903">
        <v>0.78490000000000004</v>
      </c>
      <c r="J241" s="903">
        <v>0.78490000000000004</v>
      </c>
      <c r="K241" s="903">
        <v>0.78490000000000004</v>
      </c>
      <c r="L241" s="903">
        <v>0.78490000000000004</v>
      </c>
      <c r="M241" s="903">
        <v>0.78490000000000004</v>
      </c>
    </row>
    <row r="242" spans="1:13">
      <c r="A242" s="911">
        <v>3.6</v>
      </c>
      <c r="B242" s="903">
        <v>0.91790000000000005</v>
      </c>
      <c r="C242" s="903">
        <v>0.91790000000000005</v>
      </c>
      <c r="D242" s="903">
        <v>0.91139999999999999</v>
      </c>
      <c r="E242" s="903">
        <v>0.91139999999999999</v>
      </c>
      <c r="F242" s="903">
        <v>0.91139999999999999</v>
      </c>
      <c r="G242" s="903">
        <v>0.91139999999999999</v>
      </c>
      <c r="H242" s="903">
        <v>0.91139999999999999</v>
      </c>
      <c r="I242" s="903">
        <v>0.77880000000000005</v>
      </c>
      <c r="J242" s="903">
        <v>0.77880000000000005</v>
      </c>
      <c r="K242" s="903">
        <v>0.77880000000000005</v>
      </c>
      <c r="L242" s="903">
        <v>0.77880000000000005</v>
      </c>
      <c r="M242" s="903">
        <v>0.77880000000000005</v>
      </c>
    </row>
    <row r="243" spans="1:13">
      <c r="A243" s="911">
        <v>3.7</v>
      </c>
      <c r="B243" s="903">
        <v>0.91269999999999996</v>
      </c>
      <c r="C243" s="903">
        <v>0.91269999999999996</v>
      </c>
      <c r="D243" s="903">
        <v>0.90559999999999996</v>
      </c>
      <c r="E243" s="903">
        <v>0.90559999999999996</v>
      </c>
      <c r="F243" s="903">
        <v>0.90559999999999996</v>
      </c>
      <c r="G243" s="903">
        <v>0.90559999999999996</v>
      </c>
      <c r="H243" s="903">
        <v>0.90559999999999996</v>
      </c>
      <c r="I243" s="903">
        <v>0.77300000000000002</v>
      </c>
      <c r="J243" s="903">
        <v>0.77300000000000002</v>
      </c>
      <c r="K243" s="903">
        <v>0.77300000000000002</v>
      </c>
      <c r="L243" s="903">
        <v>0.77300000000000002</v>
      </c>
      <c r="M243" s="903">
        <v>0.77300000000000002</v>
      </c>
    </row>
    <row r="244" spans="1:13">
      <c r="A244" s="911">
        <v>3.8</v>
      </c>
      <c r="B244" s="903">
        <v>0.90780000000000005</v>
      </c>
      <c r="C244" s="903">
        <v>0.90780000000000005</v>
      </c>
      <c r="D244" s="903">
        <v>0.90010000000000001</v>
      </c>
      <c r="E244" s="903">
        <v>0.90010000000000001</v>
      </c>
      <c r="F244" s="903">
        <v>0.90010000000000001</v>
      </c>
      <c r="G244" s="903">
        <v>0.90010000000000001</v>
      </c>
      <c r="H244" s="903">
        <v>0.90010000000000001</v>
      </c>
      <c r="I244" s="903">
        <v>0.76739999999999997</v>
      </c>
      <c r="J244" s="903">
        <v>0.76739999999999997</v>
      </c>
      <c r="K244" s="903">
        <v>0.76739999999999997</v>
      </c>
      <c r="L244" s="903">
        <v>0.76739999999999997</v>
      </c>
      <c r="M244" s="903">
        <v>0.76739999999999997</v>
      </c>
    </row>
    <row r="245" spans="1:13">
      <c r="A245" s="911">
        <v>3.9</v>
      </c>
      <c r="B245" s="903">
        <v>0.9032</v>
      </c>
      <c r="C245" s="903">
        <v>0.9032</v>
      </c>
      <c r="D245" s="903">
        <v>0.89490000000000003</v>
      </c>
      <c r="E245" s="903">
        <v>0.89490000000000003</v>
      </c>
      <c r="F245" s="903">
        <v>0.89490000000000003</v>
      </c>
      <c r="G245" s="903">
        <v>0.89490000000000003</v>
      </c>
      <c r="H245" s="903">
        <v>0.89490000000000003</v>
      </c>
      <c r="I245" s="903">
        <v>0.7621</v>
      </c>
      <c r="J245" s="903">
        <v>0.7621</v>
      </c>
      <c r="K245" s="903">
        <v>0.7621</v>
      </c>
      <c r="L245" s="903">
        <v>0.7621</v>
      </c>
      <c r="M245" s="903">
        <v>0.7621</v>
      </c>
    </row>
    <row r="246" spans="1:13">
      <c r="A246" s="911">
        <v>4</v>
      </c>
      <c r="B246" s="903">
        <v>0.89890000000000003</v>
      </c>
      <c r="C246" s="903">
        <v>0.89890000000000003</v>
      </c>
      <c r="D246" s="903">
        <v>0.89</v>
      </c>
      <c r="E246" s="903">
        <v>0.89</v>
      </c>
      <c r="F246" s="903">
        <v>0.89</v>
      </c>
      <c r="G246" s="903">
        <v>0.89</v>
      </c>
      <c r="H246" s="903">
        <v>0.89</v>
      </c>
      <c r="I246" s="903">
        <v>0.7571</v>
      </c>
      <c r="J246" s="903">
        <v>0.7571</v>
      </c>
      <c r="K246" s="903">
        <v>0.7571</v>
      </c>
      <c r="L246" s="903">
        <v>0.7571</v>
      </c>
      <c r="M246" s="903">
        <v>0.7571</v>
      </c>
    </row>
    <row r="247" spans="1:13">
      <c r="A247" s="911">
        <v>4.0999999999999996</v>
      </c>
      <c r="B247" s="903">
        <v>0.89480000000000004</v>
      </c>
      <c r="C247" s="903">
        <v>0.89480000000000004</v>
      </c>
      <c r="D247" s="903">
        <v>0.88539999999999996</v>
      </c>
      <c r="E247" s="903">
        <v>0.88539999999999996</v>
      </c>
      <c r="F247" s="903">
        <v>0.88539999999999996</v>
      </c>
      <c r="G247" s="903">
        <v>0.88539999999999996</v>
      </c>
      <c r="H247" s="903">
        <v>0.88539999999999996</v>
      </c>
      <c r="I247" s="903">
        <v>0.75229999999999997</v>
      </c>
      <c r="J247" s="903">
        <v>0.75229999999999997</v>
      </c>
      <c r="K247" s="903">
        <v>0.75229999999999997</v>
      </c>
      <c r="L247" s="903">
        <v>0.75229999999999997</v>
      </c>
      <c r="M247" s="903">
        <v>0.75229999999999997</v>
      </c>
    </row>
    <row r="248" spans="1:13">
      <c r="A248" s="911">
        <v>4.2</v>
      </c>
      <c r="B248" s="903">
        <v>0.89100000000000001</v>
      </c>
      <c r="C248" s="903">
        <v>0.89100000000000001</v>
      </c>
      <c r="D248" s="903">
        <v>0.88109999999999999</v>
      </c>
      <c r="E248" s="903">
        <v>0.88109999999999999</v>
      </c>
      <c r="F248" s="903">
        <v>0.88109999999999999</v>
      </c>
      <c r="G248" s="903">
        <v>0.88109999999999999</v>
      </c>
      <c r="H248" s="903">
        <v>0.88109999999999999</v>
      </c>
      <c r="I248" s="903">
        <v>0.74780000000000002</v>
      </c>
      <c r="J248" s="903">
        <v>0.74780000000000002</v>
      </c>
      <c r="K248" s="903">
        <v>0.74780000000000002</v>
      </c>
      <c r="L248" s="903">
        <v>0.74780000000000002</v>
      </c>
      <c r="M248" s="903">
        <v>0.74780000000000002</v>
      </c>
    </row>
    <row r="249" spans="1:13">
      <c r="A249" s="911">
        <v>4.3</v>
      </c>
      <c r="B249" s="903">
        <v>0.88739999999999997</v>
      </c>
      <c r="C249" s="903">
        <v>0.88739999999999997</v>
      </c>
      <c r="D249" s="903">
        <v>0.877</v>
      </c>
      <c r="E249" s="903">
        <v>0.877</v>
      </c>
      <c r="F249" s="903">
        <v>0.877</v>
      </c>
      <c r="G249" s="903">
        <v>0.877</v>
      </c>
      <c r="H249" s="903">
        <v>0.877</v>
      </c>
      <c r="I249" s="903">
        <v>0.74329999999999996</v>
      </c>
      <c r="J249" s="903">
        <v>0.74329999999999996</v>
      </c>
      <c r="K249" s="903">
        <v>0.74329999999999996</v>
      </c>
      <c r="L249" s="903">
        <v>0.74329999999999996</v>
      </c>
      <c r="M249" s="903">
        <v>0.74329999999999996</v>
      </c>
    </row>
    <row r="250" spans="1:13">
      <c r="A250" s="911">
        <v>4.4000000000000004</v>
      </c>
      <c r="B250" s="903">
        <v>0.88400000000000001</v>
      </c>
      <c r="C250" s="903">
        <v>0.88400000000000001</v>
      </c>
      <c r="D250" s="903">
        <v>0.87309999999999999</v>
      </c>
      <c r="E250" s="903">
        <v>0.87309999999999999</v>
      </c>
      <c r="F250" s="903">
        <v>0.87309999999999999</v>
      </c>
      <c r="G250" s="903">
        <v>0.87309999999999999</v>
      </c>
      <c r="H250" s="903">
        <v>0.87309999999999999</v>
      </c>
      <c r="I250" s="903">
        <v>0.73909999999999998</v>
      </c>
      <c r="J250" s="903">
        <v>0.73909999999999998</v>
      </c>
      <c r="K250" s="903">
        <v>0.73909999999999998</v>
      </c>
      <c r="L250" s="903">
        <v>0.73909999999999998</v>
      </c>
      <c r="M250" s="903">
        <v>0.73909999999999998</v>
      </c>
    </row>
    <row r="251" spans="1:13">
      <c r="A251" s="911">
        <v>4.5</v>
      </c>
      <c r="B251" s="903">
        <v>0.88080000000000003</v>
      </c>
      <c r="C251" s="903">
        <v>0.88080000000000003</v>
      </c>
      <c r="D251" s="903">
        <v>0.86939999999999995</v>
      </c>
      <c r="E251" s="903">
        <v>0.86939999999999995</v>
      </c>
      <c r="F251" s="903">
        <v>0.86939999999999995</v>
      </c>
      <c r="G251" s="903">
        <v>0.86939999999999995</v>
      </c>
      <c r="H251" s="903">
        <v>0.86939999999999995</v>
      </c>
      <c r="I251" s="903">
        <v>0.73499999999999999</v>
      </c>
      <c r="J251" s="903">
        <v>0.73499999999999999</v>
      </c>
      <c r="K251" s="903">
        <v>0.73499999999999999</v>
      </c>
      <c r="L251" s="903">
        <v>0.73499999999999999</v>
      </c>
      <c r="M251" s="903">
        <v>0.73499999999999999</v>
      </c>
    </row>
    <row r="252" spans="1:13">
      <c r="A252" s="911">
        <v>4.5999999999999996</v>
      </c>
      <c r="B252" s="903">
        <v>0.87780000000000002</v>
      </c>
      <c r="C252" s="903">
        <v>0.87780000000000002</v>
      </c>
      <c r="D252" s="903">
        <v>0.8659</v>
      </c>
      <c r="E252" s="903">
        <v>0.8659</v>
      </c>
      <c r="F252" s="903">
        <v>0.8659</v>
      </c>
      <c r="G252" s="903">
        <v>0.8659</v>
      </c>
      <c r="H252" s="903">
        <v>0.8659</v>
      </c>
      <c r="I252" s="903">
        <v>0.73109999999999997</v>
      </c>
      <c r="J252" s="903">
        <v>0.73109999999999997</v>
      </c>
      <c r="K252" s="903">
        <v>0.73109999999999997</v>
      </c>
      <c r="L252" s="903">
        <v>0.73109999999999997</v>
      </c>
      <c r="M252" s="903">
        <v>0.73109999999999997</v>
      </c>
    </row>
    <row r="253" spans="1:13">
      <c r="A253" s="911">
        <v>4.7</v>
      </c>
      <c r="B253" s="903">
        <v>0.875</v>
      </c>
      <c r="C253" s="903">
        <v>0.875</v>
      </c>
      <c r="D253" s="903">
        <v>0.86260000000000003</v>
      </c>
      <c r="E253" s="903">
        <v>0.86260000000000003</v>
      </c>
      <c r="F253" s="903">
        <v>0.86260000000000003</v>
      </c>
      <c r="G253" s="903">
        <v>0.86260000000000003</v>
      </c>
      <c r="H253" s="903">
        <v>0.86260000000000003</v>
      </c>
      <c r="I253" s="903">
        <v>0.72750000000000004</v>
      </c>
      <c r="J253" s="903">
        <v>0.72750000000000004</v>
      </c>
      <c r="K253" s="903">
        <v>0.72750000000000004</v>
      </c>
      <c r="L253" s="903">
        <v>0.72750000000000004</v>
      </c>
      <c r="M253" s="903">
        <v>0.72750000000000004</v>
      </c>
    </row>
    <row r="254" spans="1:13">
      <c r="A254" s="911">
        <v>4.8</v>
      </c>
      <c r="B254" s="903">
        <v>0.87229999999999996</v>
      </c>
      <c r="C254" s="903">
        <v>0.87229999999999996</v>
      </c>
      <c r="D254" s="903">
        <v>0.85950000000000004</v>
      </c>
      <c r="E254" s="903">
        <v>0.85950000000000004</v>
      </c>
      <c r="F254" s="903">
        <v>0.85950000000000004</v>
      </c>
      <c r="G254" s="903">
        <v>0.85950000000000004</v>
      </c>
      <c r="H254" s="903">
        <v>0.85950000000000004</v>
      </c>
      <c r="I254" s="903">
        <v>0.72399999999999998</v>
      </c>
      <c r="J254" s="903">
        <v>0.72399999999999998</v>
      </c>
      <c r="K254" s="903">
        <v>0.72399999999999998</v>
      </c>
      <c r="L254" s="903">
        <v>0.72399999999999998</v>
      </c>
      <c r="M254" s="903">
        <v>0.72399999999999998</v>
      </c>
    </row>
    <row r="255" spans="1:13">
      <c r="A255" s="911">
        <v>4.9000000000000004</v>
      </c>
      <c r="B255" s="903">
        <v>0.86980000000000002</v>
      </c>
      <c r="C255" s="903">
        <v>0.86980000000000002</v>
      </c>
      <c r="D255" s="903">
        <v>0.85660000000000003</v>
      </c>
      <c r="E255" s="903">
        <v>0.85660000000000003</v>
      </c>
      <c r="F255" s="903">
        <v>0.85660000000000003</v>
      </c>
      <c r="G255" s="903">
        <v>0.85660000000000003</v>
      </c>
      <c r="H255" s="903">
        <v>0.85660000000000003</v>
      </c>
      <c r="I255" s="903">
        <v>0.7208</v>
      </c>
      <c r="J255" s="903">
        <v>0.7208</v>
      </c>
      <c r="K255" s="903">
        <v>0.7208</v>
      </c>
      <c r="L255" s="903">
        <v>0.7208</v>
      </c>
      <c r="M255" s="903">
        <v>0.7208</v>
      </c>
    </row>
    <row r="256" spans="1:13">
      <c r="A256" s="911">
        <v>5</v>
      </c>
      <c r="B256" s="903">
        <v>0.86739999999999995</v>
      </c>
      <c r="C256" s="903">
        <v>0.86739999999999995</v>
      </c>
      <c r="D256" s="903">
        <v>0.8538</v>
      </c>
      <c r="E256" s="903">
        <v>0.8538</v>
      </c>
      <c r="F256" s="903">
        <v>0.8538</v>
      </c>
      <c r="G256" s="903">
        <v>0.8538</v>
      </c>
      <c r="H256" s="903">
        <v>0.8538</v>
      </c>
      <c r="I256" s="903">
        <v>0.71760000000000002</v>
      </c>
      <c r="J256" s="903">
        <v>0.71760000000000002</v>
      </c>
      <c r="K256" s="903">
        <v>0.71760000000000002</v>
      </c>
      <c r="L256" s="903">
        <v>0.71760000000000002</v>
      </c>
      <c r="M256" s="903">
        <v>0.71760000000000002</v>
      </c>
    </row>
    <row r="257" spans="1:13">
      <c r="A257" s="896">
        <v>5.0999999999999996</v>
      </c>
      <c r="B257" s="903">
        <v>0.86519999999999997</v>
      </c>
      <c r="C257" s="903">
        <v>0.86519999999999997</v>
      </c>
      <c r="D257" s="903">
        <v>0.85109999999999997</v>
      </c>
      <c r="E257" s="903">
        <v>0.85109999999999997</v>
      </c>
      <c r="F257" s="903">
        <v>0.85109999999999997</v>
      </c>
      <c r="G257" s="903">
        <v>0.85109999999999997</v>
      </c>
      <c r="H257" s="903">
        <v>0.85109999999999997</v>
      </c>
      <c r="I257" s="903">
        <v>0.7147</v>
      </c>
      <c r="J257" s="903">
        <v>0.7147</v>
      </c>
      <c r="K257" s="903">
        <v>0.7147</v>
      </c>
      <c r="L257" s="903">
        <v>0.7147</v>
      </c>
      <c r="M257" s="903">
        <v>0.7147</v>
      </c>
    </row>
    <row r="258" spans="1:13">
      <c r="A258" s="896">
        <v>5.2</v>
      </c>
      <c r="B258" s="903">
        <v>0.86309999999999998</v>
      </c>
      <c r="C258" s="903">
        <v>0.86309999999999998</v>
      </c>
      <c r="D258" s="903">
        <v>0.84860000000000002</v>
      </c>
      <c r="E258" s="903">
        <v>0.84860000000000002</v>
      </c>
      <c r="F258" s="903">
        <v>0.84860000000000002</v>
      </c>
      <c r="G258" s="903">
        <v>0.84860000000000002</v>
      </c>
      <c r="H258" s="903">
        <v>0.84860000000000002</v>
      </c>
      <c r="I258" s="903">
        <v>0.71189999999999998</v>
      </c>
      <c r="J258" s="903">
        <v>0.71189999999999998</v>
      </c>
      <c r="K258" s="903">
        <v>0.71189999999999998</v>
      </c>
      <c r="L258" s="903">
        <v>0.71189999999999998</v>
      </c>
      <c r="M258" s="903">
        <v>0.71189999999999998</v>
      </c>
    </row>
    <row r="259" spans="1:13">
      <c r="A259" s="896">
        <v>5.3</v>
      </c>
      <c r="B259" s="903">
        <v>0.86119999999999997</v>
      </c>
      <c r="C259" s="903">
        <v>0.86119999999999997</v>
      </c>
      <c r="D259" s="903">
        <v>0.84619999999999995</v>
      </c>
      <c r="E259" s="903">
        <v>0.84619999999999995</v>
      </c>
      <c r="F259" s="903">
        <v>0.84619999999999995</v>
      </c>
      <c r="G259" s="903">
        <v>0.84619999999999995</v>
      </c>
      <c r="H259" s="903">
        <v>0.84619999999999995</v>
      </c>
      <c r="I259" s="903">
        <v>0.70909999999999995</v>
      </c>
      <c r="J259" s="903">
        <v>0.70909999999999995</v>
      </c>
      <c r="K259" s="903">
        <v>0.70909999999999995</v>
      </c>
      <c r="L259" s="903">
        <v>0.70909999999999995</v>
      </c>
      <c r="M259" s="903">
        <v>0.70909999999999995</v>
      </c>
    </row>
    <row r="260" spans="1:13">
      <c r="A260" s="896">
        <v>5.4</v>
      </c>
      <c r="B260" s="903">
        <v>0.85940000000000005</v>
      </c>
      <c r="C260" s="903">
        <v>0.85940000000000005</v>
      </c>
      <c r="D260" s="903">
        <v>0.84389999999999998</v>
      </c>
      <c r="E260" s="903">
        <v>0.84389999999999998</v>
      </c>
      <c r="F260" s="903">
        <v>0.84389999999999998</v>
      </c>
      <c r="G260" s="903">
        <v>0.84389999999999998</v>
      </c>
      <c r="H260" s="903">
        <v>0.84389999999999998</v>
      </c>
      <c r="I260" s="903">
        <v>0.70650000000000002</v>
      </c>
      <c r="J260" s="903">
        <v>0.70650000000000002</v>
      </c>
      <c r="K260" s="903">
        <v>0.70650000000000002</v>
      </c>
      <c r="L260" s="903">
        <v>0.70650000000000002</v>
      </c>
      <c r="M260" s="903">
        <v>0.70650000000000002</v>
      </c>
    </row>
    <row r="261" spans="1:13">
      <c r="A261" s="896">
        <v>5.5</v>
      </c>
      <c r="B261" s="903">
        <v>0.85770000000000002</v>
      </c>
      <c r="C261" s="903">
        <v>0.85770000000000002</v>
      </c>
      <c r="D261" s="903">
        <v>0.84179999999999999</v>
      </c>
      <c r="E261" s="903">
        <v>0.84179999999999999</v>
      </c>
      <c r="F261" s="903">
        <v>0.84179999999999999</v>
      </c>
      <c r="G261" s="903">
        <v>0.84179999999999999</v>
      </c>
      <c r="H261" s="903">
        <v>0.84179999999999999</v>
      </c>
      <c r="I261" s="903">
        <v>0.70399999999999996</v>
      </c>
      <c r="J261" s="903">
        <v>0.70399999999999996</v>
      </c>
      <c r="K261" s="903">
        <v>0.70399999999999996</v>
      </c>
      <c r="L261" s="903">
        <v>0.70399999999999996</v>
      </c>
      <c r="M261" s="903">
        <v>0.70399999999999996</v>
      </c>
    </row>
    <row r="262" spans="1:13">
      <c r="A262" s="896">
        <v>5.6</v>
      </c>
      <c r="B262" s="903">
        <v>0.85599999999999998</v>
      </c>
      <c r="C262" s="903">
        <v>0.85599999999999998</v>
      </c>
      <c r="D262" s="903">
        <v>0.83979999999999999</v>
      </c>
      <c r="E262" s="903">
        <v>0.83979999999999999</v>
      </c>
      <c r="F262" s="903">
        <v>0.83979999999999999</v>
      </c>
      <c r="G262" s="903">
        <v>0.83979999999999999</v>
      </c>
      <c r="H262" s="903">
        <v>0.83979999999999999</v>
      </c>
      <c r="I262" s="903">
        <v>0.7016</v>
      </c>
      <c r="J262" s="903">
        <v>0.7016</v>
      </c>
      <c r="K262" s="903">
        <v>0.7016</v>
      </c>
      <c r="L262" s="903">
        <v>0.7016</v>
      </c>
      <c r="M262" s="903">
        <v>0.7016</v>
      </c>
    </row>
    <row r="263" spans="1:13">
      <c r="A263" s="911">
        <v>5.7</v>
      </c>
      <c r="B263" s="903">
        <v>0.85440000000000005</v>
      </c>
      <c r="C263" s="903">
        <v>0.85440000000000005</v>
      </c>
      <c r="D263" s="903">
        <v>0.83789999999999998</v>
      </c>
      <c r="E263" s="903">
        <v>0.83789999999999998</v>
      </c>
      <c r="F263" s="903">
        <v>0.83789999999999998</v>
      </c>
      <c r="G263" s="903">
        <v>0.83789999999999998</v>
      </c>
      <c r="H263" s="903">
        <v>0.83789999999999998</v>
      </c>
      <c r="I263" s="903">
        <v>0.69940000000000002</v>
      </c>
      <c r="J263" s="903">
        <v>0.69940000000000002</v>
      </c>
      <c r="K263" s="903">
        <v>0.69940000000000002</v>
      </c>
      <c r="L263" s="903">
        <v>0.69940000000000002</v>
      </c>
      <c r="M263" s="903">
        <v>0.69940000000000002</v>
      </c>
    </row>
    <row r="264" spans="1:13">
      <c r="A264" s="896">
        <v>5.8</v>
      </c>
      <c r="B264" s="903">
        <v>0.85289999999999999</v>
      </c>
      <c r="C264" s="903">
        <v>0.85289999999999999</v>
      </c>
      <c r="D264" s="903">
        <v>0.83599999999999997</v>
      </c>
      <c r="E264" s="903">
        <v>0.83599999999999997</v>
      </c>
      <c r="F264" s="903">
        <v>0.83599999999999997</v>
      </c>
      <c r="G264" s="903">
        <v>0.83599999999999997</v>
      </c>
      <c r="H264" s="903">
        <v>0.83599999999999997</v>
      </c>
      <c r="I264" s="903">
        <v>0.69720000000000004</v>
      </c>
      <c r="J264" s="903">
        <v>0.69720000000000004</v>
      </c>
      <c r="K264" s="903">
        <v>0.69720000000000004</v>
      </c>
      <c r="L264" s="903">
        <v>0.69720000000000004</v>
      </c>
      <c r="M264" s="903">
        <v>0.69720000000000004</v>
      </c>
    </row>
    <row r="265" spans="1:13">
      <c r="A265" s="896">
        <v>5.9</v>
      </c>
      <c r="B265" s="903">
        <v>0.85150000000000003</v>
      </c>
      <c r="C265" s="903">
        <v>0.85150000000000003</v>
      </c>
      <c r="D265" s="903">
        <v>0.83430000000000004</v>
      </c>
      <c r="E265" s="903">
        <v>0.83430000000000004</v>
      </c>
      <c r="F265" s="903">
        <v>0.83430000000000004</v>
      </c>
      <c r="G265" s="903">
        <v>0.83430000000000004</v>
      </c>
      <c r="H265" s="903">
        <v>0.83430000000000004</v>
      </c>
      <c r="I265" s="903">
        <v>0.69520000000000004</v>
      </c>
      <c r="J265" s="903">
        <v>0.69520000000000004</v>
      </c>
      <c r="K265" s="903">
        <v>0.69520000000000004</v>
      </c>
      <c r="L265" s="903">
        <v>0.69520000000000004</v>
      </c>
      <c r="M265" s="903">
        <v>0.69520000000000004</v>
      </c>
    </row>
    <row r="266" spans="1:13">
      <c r="A266" s="896">
        <v>6</v>
      </c>
      <c r="B266" s="903">
        <v>0.85019999999999996</v>
      </c>
      <c r="C266" s="903">
        <v>0.85019999999999996</v>
      </c>
      <c r="D266" s="903">
        <v>0.8327</v>
      </c>
      <c r="E266" s="903">
        <v>0.8327</v>
      </c>
      <c r="F266" s="903">
        <v>0.8327</v>
      </c>
      <c r="G266" s="903">
        <v>0.8327</v>
      </c>
      <c r="H266" s="903">
        <v>0.8327</v>
      </c>
      <c r="I266" s="903">
        <v>0.69320000000000004</v>
      </c>
      <c r="J266" s="903">
        <v>0.69320000000000004</v>
      </c>
      <c r="K266" s="903">
        <v>0.69320000000000004</v>
      </c>
      <c r="L266" s="903">
        <v>0.69320000000000004</v>
      </c>
      <c r="M266" s="903">
        <v>0.69320000000000004</v>
      </c>
    </row>
    <row r="267" spans="1:13">
      <c r="A267" s="896">
        <v>6.1</v>
      </c>
      <c r="B267" s="903">
        <v>0.84899999999999998</v>
      </c>
      <c r="C267" s="903">
        <v>0.84899999999999998</v>
      </c>
      <c r="D267" s="903">
        <v>0.83109999999999995</v>
      </c>
      <c r="E267" s="903">
        <v>0.83109999999999995</v>
      </c>
      <c r="F267" s="903">
        <v>0.83109999999999995</v>
      </c>
      <c r="G267" s="903">
        <v>0.83109999999999995</v>
      </c>
      <c r="H267" s="903">
        <v>0.83109999999999995</v>
      </c>
      <c r="I267" s="903">
        <v>0.69130000000000003</v>
      </c>
      <c r="J267" s="903">
        <v>0.69130000000000003</v>
      </c>
      <c r="K267" s="903">
        <v>0.69130000000000003</v>
      </c>
      <c r="L267" s="903">
        <v>0.69130000000000003</v>
      </c>
      <c r="M267" s="903">
        <v>0.69130000000000003</v>
      </c>
    </row>
    <row r="268" spans="1:13">
      <c r="A268" s="896">
        <v>6.2</v>
      </c>
      <c r="B268" s="903">
        <v>0.8478</v>
      </c>
      <c r="C268" s="903">
        <v>0.8478</v>
      </c>
      <c r="D268" s="903">
        <v>0.8296</v>
      </c>
      <c r="E268" s="903">
        <v>0.8296</v>
      </c>
      <c r="F268" s="903">
        <v>0.8296</v>
      </c>
      <c r="G268" s="903">
        <v>0.8296</v>
      </c>
      <c r="H268" s="903">
        <v>0.8296</v>
      </c>
      <c r="I268" s="903">
        <v>0.68940000000000001</v>
      </c>
      <c r="J268" s="903">
        <v>0.68940000000000001</v>
      </c>
      <c r="K268" s="903">
        <v>0.68940000000000001</v>
      </c>
      <c r="L268" s="903">
        <v>0.68940000000000001</v>
      </c>
      <c r="M268" s="903">
        <v>0.68940000000000001</v>
      </c>
    </row>
    <row r="269" spans="1:13">
      <c r="A269" s="896">
        <v>6.3</v>
      </c>
      <c r="B269" s="903">
        <v>0.84670000000000001</v>
      </c>
      <c r="C269" s="903">
        <v>0.84670000000000001</v>
      </c>
      <c r="D269" s="903">
        <v>0.82820000000000005</v>
      </c>
      <c r="E269" s="903">
        <v>0.82820000000000005</v>
      </c>
      <c r="F269" s="903">
        <v>0.82820000000000005</v>
      </c>
      <c r="G269" s="903">
        <v>0.82820000000000005</v>
      </c>
      <c r="H269" s="903">
        <v>0.82820000000000005</v>
      </c>
      <c r="I269" s="903">
        <v>0.68769999999999998</v>
      </c>
      <c r="J269" s="903">
        <v>0.68769999999999998</v>
      </c>
      <c r="K269" s="903">
        <v>0.68769999999999998</v>
      </c>
      <c r="L269" s="903">
        <v>0.68769999999999998</v>
      </c>
      <c r="M269" s="903">
        <v>0.68769999999999998</v>
      </c>
    </row>
    <row r="270" spans="1:13">
      <c r="A270" s="896">
        <v>6.4</v>
      </c>
      <c r="B270" s="903">
        <v>0.84570000000000001</v>
      </c>
      <c r="C270" s="903">
        <v>0.84570000000000001</v>
      </c>
      <c r="D270" s="903">
        <v>0.82689999999999997</v>
      </c>
      <c r="E270" s="903">
        <v>0.82689999999999997</v>
      </c>
      <c r="F270" s="903">
        <v>0.82689999999999997</v>
      </c>
      <c r="G270" s="903">
        <v>0.82689999999999997</v>
      </c>
      <c r="H270" s="903">
        <v>0.82689999999999997</v>
      </c>
      <c r="I270" s="903">
        <v>0.68610000000000004</v>
      </c>
      <c r="J270" s="903">
        <v>0.68610000000000004</v>
      </c>
      <c r="K270" s="903">
        <v>0.68610000000000004</v>
      </c>
      <c r="L270" s="903">
        <v>0.68610000000000004</v>
      </c>
      <c r="M270" s="903">
        <v>0.68610000000000004</v>
      </c>
    </row>
    <row r="271" spans="1:13">
      <c r="A271" s="896">
        <v>6.5</v>
      </c>
      <c r="B271" s="903">
        <v>0.84470000000000001</v>
      </c>
      <c r="C271" s="903">
        <v>0.84470000000000001</v>
      </c>
      <c r="D271" s="903">
        <v>0.82569999999999999</v>
      </c>
      <c r="E271" s="903">
        <v>0.82569999999999999</v>
      </c>
      <c r="F271" s="903">
        <v>0.82569999999999999</v>
      </c>
      <c r="G271" s="903">
        <v>0.82569999999999999</v>
      </c>
      <c r="H271" s="903">
        <v>0.82569999999999999</v>
      </c>
      <c r="I271" s="903">
        <v>0.68440000000000001</v>
      </c>
      <c r="J271" s="903">
        <v>0.68440000000000001</v>
      </c>
      <c r="K271" s="903">
        <v>0.68440000000000001</v>
      </c>
      <c r="L271" s="903">
        <v>0.68440000000000001</v>
      </c>
      <c r="M271" s="903">
        <v>0.68440000000000001</v>
      </c>
    </row>
    <row r="272" spans="1:13">
      <c r="A272" s="896">
        <v>6.6</v>
      </c>
      <c r="B272" s="903">
        <v>0.84370000000000001</v>
      </c>
      <c r="C272" s="903">
        <v>0.84370000000000001</v>
      </c>
      <c r="D272" s="903">
        <v>0.82450000000000001</v>
      </c>
      <c r="E272" s="903">
        <v>0.82450000000000001</v>
      </c>
      <c r="F272" s="903">
        <v>0.82450000000000001</v>
      </c>
      <c r="G272" s="903">
        <v>0.82450000000000001</v>
      </c>
      <c r="H272" s="903">
        <v>0.82450000000000001</v>
      </c>
      <c r="I272" s="903">
        <v>0.68289999999999995</v>
      </c>
      <c r="J272" s="903">
        <v>0.68289999999999995</v>
      </c>
      <c r="K272" s="903">
        <v>0.68289999999999995</v>
      </c>
      <c r="L272" s="903">
        <v>0.68289999999999995</v>
      </c>
      <c r="M272" s="903">
        <v>0.68289999999999995</v>
      </c>
    </row>
    <row r="273" spans="1:13">
      <c r="A273" s="896">
        <v>6.7</v>
      </c>
      <c r="B273" s="903">
        <v>0.8427</v>
      </c>
      <c r="C273" s="903">
        <v>0.8427</v>
      </c>
      <c r="D273" s="903">
        <v>0.82330000000000003</v>
      </c>
      <c r="E273" s="903">
        <v>0.82330000000000003</v>
      </c>
      <c r="F273" s="903">
        <v>0.82330000000000003</v>
      </c>
      <c r="G273" s="903">
        <v>0.82330000000000003</v>
      </c>
      <c r="H273" s="903">
        <v>0.82330000000000003</v>
      </c>
      <c r="I273" s="903">
        <v>0.68130000000000002</v>
      </c>
      <c r="J273" s="903">
        <v>0.68130000000000002</v>
      </c>
      <c r="K273" s="903">
        <v>0.68130000000000002</v>
      </c>
      <c r="L273" s="903">
        <v>0.68130000000000002</v>
      </c>
      <c r="M273" s="903">
        <v>0.68130000000000002</v>
      </c>
    </row>
    <row r="274" spans="1:13">
      <c r="A274" s="896">
        <v>6.8</v>
      </c>
      <c r="B274" s="903">
        <v>0.84179999999999999</v>
      </c>
      <c r="C274" s="903">
        <v>0.84179999999999999</v>
      </c>
      <c r="D274" s="903">
        <v>0.82210000000000005</v>
      </c>
      <c r="E274" s="903">
        <v>0.82210000000000005</v>
      </c>
      <c r="F274" s="903">
        <v>0.82210000000000005</v>
      </c>
      <c r="G274" s="903">
        <v>0.82210000000000005</v>
      </c>
      <c r="H274" s="903">
        <v>0.82210000000000005</v>
      </c>
      <c r="I274" s="903">
        <v>0.67979999999999996</v>
      </c>
      <c r="J274" s="903">
        <v>0.67979999999999996</v>
      </c>
      <c r="K274" s="903">
        <v>0.67979999999999996</v>
      </c>
      <c r="L274" s="903">
        <v>0.67979999999999996</v>
      </c>
      <c r="M274" s="903">
        <v>0.67979999999999996</v>
      </c>
    </row>
    <row r="275" spans="1:13">
      <c r="A275" s="896">
        <v>6.9</v>
      </c>
      <c r="B275" s="903">
        <v>0.84089999999999998</v>
      </c>
      <c r="C275" s="903">
        <v>0.84089999999999998</v>
      </c>
      <c r="D275" s="903">
        <v>0.82099999999999995</v>
      </c>
      <c r="E275" s="903">
        <v>0.82099999999999995</v>
      </c>
      <c r="F275" s="903">
        <v>0.82099999999999995</v>
      </c>
      <c r="G275" s="903">
        <v>0.82099999999999995</v>
      </c>
      <c r="H275" s="903">
        <v>0.82099999999999995</v>
      </c>
      <c r="I275" s="903">
        <v>0.67849999999999999</v>
      </c>
      <c r="J275" s="903">
        <v>0.67849999999999999</v>
      </c>
      <c r="K275" s="903">
        <v>0.67849999999999999</v>
      </c>
      <c r="L275" s="903">
        <v>0.67849999999999999</v>
      </c>
      <c r="M275" s="903">
        <v>0.67849999999999999</v>
      </c>
    </row>
    <row r="276" spans="1:13">
      <c r="A276" s="896">
        <v>7</v>
      </c>
      <c r="B276" s="903">
        <v>0.84009999999999996</v>
      </c>
      <c r="C276" s="903">
        <v>0.84009999999999996</v>
      </c>
      <c r="D276" s="903">
        <v>0.81989999999999996</v>
      </c>
      <c r="E276" s="903">
        <v>0.81989999999999996</v>
      </c>
      <c r="F276" s="903">
        <v>0.81989999999999996</v>
      </c>
      <c r="G276" s="903">
        <v>0.81989999999999996</v>
      </c>
      <c r="H276" s="903">
        <v>0.81989999999999996</v>
      </c>
      <c r="I276" s="903">
        <v>0.67720000000000002</v>
      </c>
      <c r="J276" s="903">
        <v>0.67720000000000002</v>
      </c>
      <c r="K276" s="903">
        <v>0.67720000000000002</v>
      </c>
      <c r="L276" s="903">
        <v>0.67720000000000002</v>
      </c>
      <c r="M276" s="903">
        <v>0.67720000000000002</v>
      </c>
    </row>
    <row r="277" spans="1:13">
      <c r="A277" s="896">
        <v>7.1</v>
      </c>
      <c r="B277" s="903">
        <v>0.83930000000000005</v>
      </c>
      <c r="C277" s="903">
        <v>0.83930000000000005</v>
      </c>
      <c r="D277" s="903">
        <v>0.81889999999999996</v>
      </c>
      <c r="E277" s="903">
        <v>0.81889999999999996</v>
      </c>
      <c r="F277" s="903">
        <v>0.81889999999999996</v>
      </c>
      <c r="G277" s="903">
        <v>0.81889999999999996</v>
      </c>
      <c r="H277" s="903">
        <v>0.81889999999999996</v>
      </c>
      <c r="I277" s="903">
        <v>0.67589999999999995</v>
      </c>
      <c r="J277" s="903">
        <v>0.67589999999999995</v>
      </c>
      <c r="K277" s="903">
        <v>0.67589999999999995</v>
      </c>
      <c r="L277" s="903">
        <v>0.67589999999999995</v>
      </c>
      <c r="M277" s="903">
        <v>0.67589999999999995</v>
      </c>
    </row>
    <row r="278" spans="1:13">
      <c r="A278" s="896">
        <v>7.2</v>
      </c>
      <c r="B278" s="903">
        <v>0.83850000000000002</v>
      </c>
      <c r="C278" s="903">
        <v>0.83850000000000002</v>
      </c>
      <c r="D278" s="903">
        <v>0.81789999999999996</v>
      </c>
      <c r="E278" s="903">
        <v>0.81789999999999996</v>
      </c>
      <c r="F278" s="903">
        <v>0.81789999999999996</v>
      </c>
      <c r="G278" s="903">
        <v>0.81789999999999996</v>
      </c>
      <c r="H278" s="903">
        <v>0.81789999999999996</v>
      </c>
      <c r="I278" s="903">
        <v>0.67459999999999998</v>
      </c>
      <c r="J278" s="903">
        <v>0.67459999999999998</v>
      </c>
      <c r="K278" s="903">
        <v>0.67459999999999998</v>
      </c>
      <c r="L278" s="903">
        <v>0.67459999999999998</v>
      </c>
      <c r="M278" s="903">
        <v>0.67459999999999998</v>
      </c>
    </row>
    <row r="279" spans="1:13">
      <c r="A279" s="896">
        <v>7.3</v>
      </c>
      <c r="B279" s="903">
        <v>0.8377</v>
      </c>
      <c r="C279" s="903">
        <v>0.8377</v>
      </c>
      <c r="D279" s="903">
        <v>0.81689999999999996</v>
      </c>
      <c r="E279" s="903">
        <v>0.81689999999999996</v>
      </c>
      <c r="F279" s="903">
        <v>0.81689999999999996</v>
      </c>
      <c r="G279" s="903">
        <v>0.81689999999999996</v>
      </c>
      <c r="H279" s="903">
        <v>0.81689999999999996</v>
      </c>
      <c r="I279" s="903">
        <v>0.6734</v>
      </c>
      <c r="J279" s="903">
        <v>0.6734</v>
      </c>
      <c r="K279" s="903">
        <v>0.6734</v>
      </c>
      <c r="L279" s="903">
        <v>0.6734</v>
      </c>
      <c r="M279" s="903">
        <v>0.6734</v>
      </c>
    </row>
    <row r="280" spans="1:13">
      <c r="A280" s="896">
        <v>7.4</v>
      </c>
      <c r="B280" s="903">
        <v>0.83699999999999997</v>
      </c>
      <c r="C280" s="903">
        <v>0.83699999999999997</v>
      </c>
      <c r="D280" s="903">
        <v>0.81599999999999995</v>
      </c>
      <c r="E280" s="903">
        <v>0.81599999999999995</v>
      </c>
      <c r="F280" s="903">
        <v>0.81599999999999995</v>
      </c>
      <c r="G280" s="903">
        <v>0.81599999999999995</v>
      </c>
      <c r="H280" s="903">
        <v>0.81599999999999995</v>
      </c>
      <c r="I280" s="903">
        <v>0.67210000000000003</v>
      </c>
      <c r="J280" s="903">
        <v>0.67210000000000003</v>
      </c>
      <c r="K280" s="903">
        <v>0.67210000000000003</v>
      </c>
      <c r="L280" s="903">
        <v>0.67210000000000003</v>
      </c>
      <c r="M280" s="903">
        <v>0.67210000000000003</v>
      </c>
    </row>
    <row r="281" spans="1:13">
      <c r="A281" s="896">
        <v>7.5</v>
      </c>
      <c r="B281" s="903">
        <v>0.83630000000000004</v>
      </c>
      <c r="C281" s="903">
        <v>0.83630000000000004</v>
      </c>
      <c r="D281" s="903">
        <v>0.81510000000000005</v>
      </c>
      <c r="E281" s="903">
        <v>0.81510000000000005</v>
      </c>
      <c r="F281" s="903">
        <v>0.81510000000000005</v>
      </c>
      <c r="G281" s="903">
        <v>0.81510000000000005</v>
      </c>
      <c r="H281" s="903">
        <v>0.81510000000000005</v>
      </c>
      <c r="I281" s="903">
        <v>0.67090000000000005</v>
      </c>
      <c r="J281" s="903">
        <v>0.67090000000000005</v>
      </c>
      <c r="K281" s="903">
        <v>0.67090000000000005</v>
      </c>
      <c r="L281" s="903">
        <v>0.67090000000000005</v>
      </c>
      <c r="M281" s="903">
        <v>0.67090000000000005</v>
      </c>
    </row>
    <row r="282" spans="1:13">
      <c r="A282" s="896">
        <v>7.6</v>
      </c>
      <c r="B282" s="903">
        <v>0.83560000000000001</v>
      </c>
      <c r="C282" s="903">
        <v>0.83560000000000001</v>
      </c>
      <c r="D282" s="903">
        <v>0.81420000000000003</v>
      </c>
      <c r="E282" s="903">
        <v>0.81420000000000003</v>
      </c>
      <c r="F282" s="903">
        <v>0.81420000000000003</v>
      </c>
      <c r="G282" s="903">
        <v>0.81420000000000003</v>
      </c>
      <c r="H282" s="903">
        <v>0.81420000000000003</v>
      </c>
      <c r="I282" s="903">
        <v>0.66979999999999995</v>
      </c>
      <c r="J282" s="903">
        <v>0.66979999999999995</v>
      </c>
      <c r="K282" s="903">
        <v>0.66979999999999995</v>
      </c>
      <c r="L282" s="903">
        <v>0.66979999999999995</v>
      </c>
      <c r="M282" s="903">
        <v>0.66979999999999995</v>
      </c>
    </row>
    <row r="283" spans="1:13">
      <c r="A283" s="896">
        <v>7.7</v>
      </c>
      <c r="B283" s="903">
        <v>0.83489999999999998</v>
      </c>
      <c r="C283" s="903">
        <v>0.83489999999999998</v>
      </c>
      <c r="D283" s="903">
        <v>0.81330000000000002</v>
      </c>
      <c r="E283" s="903">
        <v>0.81330000000000002</v>
      </c>
      <c r="F283" s="903">
        <v>0.81330000000000002</v>
      </c>
      <c r="G283" s="903">
        <v>0.81330000000000002</v>
      </c>
      <c r="H283" s="903">
        <v>0.81330000000000002</v>
      </c>
      <c r="I283" s="903">
        <v>0.66869999999999996</v>
      </c>
      <c r="J283" s="903">
        <v>0.66869999999999996</v>
      </c>
      <c r="K283" s="903">
        <v>0.66869999999999996</v>
      </c>
      <c r="L283" s="903">
        <v>0.66869999999999996</v>
      </c>
      <c r="M283" s="903">
        <v>0.66869999999999996</v>
      </c>
    </row>
    <row r="284" spans="1:13">
      <c r="A284" s="896">
        <v>7.8</v>
      </c>
      <c r="B284" s="903">
        <v>0.83420000000000005</v>
      </c>
      <c r="C284" s="903">
        <v>0.83420000000000005</v>
      </c>
      <c r="D284" s="903">
        <v>0.81240000000000001</v>
      </c>
      <c r="E284" s="903">
        <v>0.81240000000000001</v>
      </c>
      <c r="F284" s="903">
        <v>0.81240000000000001</v>
      </c>
      <c r="G284" s="903">
        <v>0.81240000000000001</v>
      </c>
      <c r="H284" s="903">
        <v>0.81240000000000001</v>
      </c>
      <c r="I284" s="903">
        <v>0.66759999999999997</v>
      </c>
      <c r="J284" s="903">
        <v>0.66759999999999997</v>
      </c>
      <c r="K284" s="903">
        <v>0.66759999999999997</v>
      </c>
      <c r="L284" s="903">
        <v>0.66759999999999997</v>
      </c>
      <c r="M284" s="903">
        <v>0.66759999999999997</v>
      </c>
    </row>
    <row r="285" spans="1:13">
      <c r="A285" s="896">
        <v>7.9</v>
      </c>
      <c r="B285" s="903">
        <v>0.83350000000000002</v>
      </c>
      <c r="C285" s="903">
        <v>0.83350000000000002</v>
      </c>
      <c r="D285" s="903">
        <v>0.81159999999999999</v>
      </c>
      <c r="E285" s="903">
        <v>0.81159999999999999</v>
      </c>
      <c r="F285" s="903">
        <v>0.81159999999999999</v>
      </c>
      <c r="G285" s="903">
        <v>0.81159999999999999</v>
      </c>
      <c r="H285" s="903">
        <v>0.81159999999999999</v>
      </c>
      <c r="I285" s="903">
        <v>0.66649999999999998</v>
      </c>
      <c r="J285" s="903">
        <v>0.66649999999999998</v>
      </c>
      <c r="K285" s="903">
        <v>0.66649999999999998</v>
      </c>
      <c r="L285" s="903">
        <v>0.66649999999999998</v>
      </c>
      <c r="M285" s="903">
        <v>0.66649999999999998</v>
      </c>
    </row>
    <row r="286" spans="1:13">
      <c r="A286" s="896">
        <v>8</v>
      </c>
      <c r="B286" s="903">
        <v>0.83279999999999998</v>
      </c>
      <c r="C286" s="903">
        <v>0.83279999999999998</v>
      </c>
      <c r="D286" s="903">
        <v>0.81079999999999997</v>
      </c>
      <c r="E286" s="903">
        <v>0.81079999999999997</v>
      </c>
      <c r="F286" s="903">
        <v>0.81079999999999997</v>
      </c>
      <c r="G286" s="903">
        <v>0.81079999999999997</v>
      </c>
      <c r="H286" s="903">
        <v>0.81079999999999997</v>
      </c>
      <c r="I286" s="903">
        <v>0.66549999999999998</v>
      </c>
      <c r="J286" s="903">
        <v>0.66549999999999998</v>
      </c>
      <c r="K286" s="903">
        <v>0.66549999999999998</v>
      </c>
      <c r="L286" s="903">
        <v>0.66549999999999998</v>
      </c>
      <c r="M286" s="903">
        <v>0.66549999999999998</v>
      </c>
    </row>
    <row r="287" spans="1:13">
      <c r="A287" s="896">
        <v>8.1</v>
      </c>
      <c r="B287" s="903">
        <v>0.83220000000000005</v>
      </c>
      <c r="C287" s="903">
        <v>0.83220000000000005</v>
      </c>
      <c r="D287" s="903">
        <v>0.81</v>
      </c>
      <c r="E287" s="903">
        <v>0.81</v>
      </c>
      <c r="F287" s="903">
        <v>0.81</v>
      </c>
      <c r="G287" s="903">
        <v>0.81</v>
      </c>
      <c r="H287" s="903">
        <v>0.81</v>
      </c>
      <c r="I287" s="903">
        <v>0.66439999999999999</v>
      </c>
      <c r="J287" s="903">
        <v>0.66439999999999999</v>
      </c>
      <c r="K287" s="903">
        <v>0.66439999999999999</v>
      </c>
      <c r="L287" s="903">
        <v>0.66439999999999999</v>
      </c>
      <c r="M287" s="903">
        <v>0.66439999999999999</v>
      </c>
    </row>
    <row r="288" spans="1:13">
      <c r="A288" s="896">
        <v>8.1999999999999993</v>
      </c>
      <c r="B288" s="903">
        <v>0.83160000000000001</v>
      </c>
      <c r="C288" s="903">
        <v>0.83160000000000001</v>
      </c>
      <c r="D288" s="903">
        <v>0.80920000000000003</v>
      </c>
      <c r="E288" s="903">
        <v>0.80920000000000003</v>
      </c>
      <c r="F288" s="903">
        <v>0.80920000000000003</v>
      </c>
      <c r="G288" s="903">
        <v>0.80920000000000003</v>
      </c>
      <c r="H288" s="903">
        <v>0.80920000000000003</v>
      </c>
      <c r="I288" s="903">
        <v>0.66339999999999999</v>
      </c>
      <c r="J288" s="903">
        <v>0.66339999999999999</v>
      </c>
      <c r="K288" s="903">
        <v>0.66339999999999999</v>
      </c>
      <c r="L288" s="903">
        <v>0.66339999999999999</v>
      </c>
      <c r="M288" s="903">
        <v>0.66339999999999999</v>
      </c>
    </row>
    <row r="289" spans="1:13">
      <c r="A289" s="896">
        <v>8.3000000000000007</v>
      </c>
      <c r="B289" s="903">
        <v>0.83099999999999996</v>
      </c>
      <c r="C289" s="903">
        <v>0.83099999999999996</v>
      </c>
      <c r="D289" s="903">
        <v>0.80840000000000001</v>
      </c>
      <c r="E289" s="903">
        <v>0.80840000000000001</v>
      </c>
      <c r="F289" s="903">
        <v>0.80840000000000001</v>
      </c>
      <c r="G289" s="903">
        <v>0.80840000000000001</v>
      </c>
      <c r="H289" s="903">
        <v>0.80840000000000001</v>
      </c>
      <c r="I289" s="903">
        <v>0.66239999999999999</v>
      </c>
      <c r="J289" s="903">
        <v>0.66239999999999999</v>
      </c>
      <c r="K289" s="903">
        <v>0.66239999999999999</v>
      </c>
      <c r="L289" s="903">
        <v>0.66239999999999999</v>
      </c>
      <c r="M289" s="903">
        <v>0.66239999999999999</v>
      </c>
    </row>
    <row r="290" spans="1:13">
      <c r="A290" s="896">
        <v>8.4</v>
      </c>
      <c r="B290" s="903">
        <v>0.83040000000000003</v>
      </c>
      <c r="C290" s="903">
        <v>0.83040000000000003</v>
      </c>
      <c r="D290" s="903">
        <v>0.80759999999999998</v>
      </c>
      <c r="E290" s="903">
        <v>0.80759999999999998</v>
      </c>
      <c r="F290" s="903">
        <v>0.80759999999999998</v>
      </c>
      <c r="G290" s="903">
        <v>0.80759999999999998</v>
      </c>
      <c r="H290" s="903">
        <v>0.80759999999999998</v>
      </c>
      <c r="I290" s="903">
        <v>0.66139999999999999</v>
      </c>
      <c r="J290" s="903">
        <v>0.66139999999999999</v>
      </c>
      <c r="K290" s="903">
        <v>0.66139999999999999</v>
      </c>
      <c r="L290" s="903">
        <v>0.66139999999999999</v>
      </c>
      <c r="M290" s="903">
        <v>0.66139999999999999</v>
      </c>
    </row>
    <row r="291" spans="1:13">
      <c r="A291" s="896">
        <v>8.5</v>
      </c>
      <c r="B291" s="903">
        <v>0.82979999999999998</v>
      </c>
      <c r="C291" s="903">
        <v>0.82979999999999998</v>
      </c>
      <c r="D291" s="903">
        <v>0.80679999999999996</v>
      </c>
      <c r="E291" s="903">
        <v>0.80679999999999996</v>
      </c>
      <c r="F291" s="903">
        <v>0.80679999999999996</v>
      </c>
      <c r="G291" s="903">
        <v>0.80679999999999996</v>
      </c>
      <c r="H291" s="903">
        <v>0.80679999999999996</v>
      </c>
      <c r="I291" s="903">
        <v>0.66049999999999998</v>
      </c>
      <c r="J291" s="903">
        <v>0.66049999999999998</v>
      </c>
      <c r="K291" s="903">
        <v>0.66049999999999998</v>
      </c>
      <c r="L291" s="903">
        <v>0.66049999999999998</v>
      </c>
      <c r="M291" s="903">
        <v>0.66049999999999998</v>
      </c>
    </row>
    <row r="292" spans="1:13">
      <c r="A292" s="896">
        <v>8.6</v>
      </c>
      <c r="B292" s="903">
        <v>0.82920000000000005</v>
      </c>
      <c r="C292" s="903">
        <v>0.82920000000000005</v>
      </c>
      <c r="D292" s="903">
        <v>0.80600000000000005</v>
      </c>
      <c r="E292" s="903">
        <v>0.80600000000000005</v>
      </c>
      <c r="F292" s="903">
        <v>0.80600000000000005</v>
      </c>
      <c r="G292" s="903">
        <v>0.80600000000000005</v>
      </c>
      <c r="H292" s="903">
        <v>0.80600000000000005</v>
      </c>
      <c r="I292" s="903">
        <v>0.65949999999999998</v>
      </c>
      <c r="J292" s="903">
        <v>0.65949999999999998</v>
      </c>
      <c r="K292" s="903">
        <v>0.65949999999999998</v>
      </c>
      <c r="L292" s="903">
        <v>0.65949999999999998</v>
      </c>
      <c r="M292" s="903">
        <v>0.65949999999999998</v>
      </c>
    </row>
    <row r="293" spans="1:13">
      <c r="A293" s="896">
        <v>8.6999999999999993</v>
      </c>
      <c r="B293" s="903">
        <v>0.8286</v>
      </c>
      <c r="C293" s="903">
        <v>0.8286</v>
      </c>
      <c r="D293" s="903">
        <v>0.80520000000000003</v>
      </c>
      <c r="E293" s="903">
        <v>0.80520000000000003</v>
      </c>
      <c r="F293" s="903">
        <v>0.80520000000000003</v>
      </c>
      <c r="G293" s="903">
        <v>0.80520000000000003</v>
      </c>
      <c r="H293" s="903">
        <v>0.80520000000000003</v>
      </c>
      <c r="I293" s="903">
        <v>0.65859999999999996</v>
      </c>
      <c r="J293" s="903">
        <v>0.65859999999999996</v>
      </c>
      <c r="K293" s="903">
        <v>0.65859999999999996</v>
      </c>
      <c r="L293" s="903">
        <v>0.65859999999999996</v>
      </c>
      <c r="M293" s="903">
        <v>0.65859999999999996</v>
      </c>
    </row>
    <row r="294" spans="1:13">
      <c r="A294" s="896">
        <v>8.8000000000000007</v>
      </c>
      <c r="B294" s="903">
        <v>0.82799999999999996</v>
      </c>
      <c r="C294" s="903">
        <v>0.82799999999999996</v>
      </c>
      <c r="D294" s="903">
        <v>0.8044</v>
      </c>
      <c r="E294" s="903">
        <v>0.8044</v>
      </c>
      <c r="F294" s="903">
        <v>0.8044</v>
      </c>
      <c r="G294" s="903">
        <v>0.8044</v>
      </c>
      <c r="H294" s="903">
        <v>0.8044</v>
      </c>
      <c r="I294" s="903">
        <v>0.65759999999999996</v>
      </c>
      <c r="J294" s="903">
        <v>0.65759999999999996</v>
      </c>
      <c r="K294" s="903">
        <v>0.65759999999999996</v>
      </c>
      <c r="L294" s="903">
        <v>0.65759999999999996</v>
      </c>
      <c r="M294" s="903">
        <v>0.65759999999999996</v>
      </c>
    </row>
    <row r="295" spans="1:13">
      <c r="A295" s="896">
        <v>8.9</v>
      </c>
      <c r="B295" s="903">
        <v>0.82740000000000002</v>
      </c>
      <c r="C295" s="903">
        <v>0.82740000000000002</v>
      </c>
      <c r="D295" s="903">
        <v>0.80359999999999998</v>
      </c>
      <c r="E295" s="903">
        <v>0.80359999999999998</v>
      </c>
      <c r="F295" s="903">
        <v>0.80359999999999998</v>
      </c>
      <c r="G295" s="903">
        <v>0.80359999999999998</v>
      </c>
      <c r="H295" s="903">
        <v>0.80359999999999998</v>
      </c>
      <c r="I295" s="903">
        <v>0.65669999999999995</v>
      </c>
      <c r="J295" s="903">
        <v>0.65669999999999995</v>
      </c>
      <c r="K295" s="903">
        <v>0.65669999999999995</v>
      </c>
      <c r="L295" s="903">
        <v>0.65669999999999995</v>
      </c>
      <c r="M295" s="903">
        <v>0.65669999999999995</v>
      </c>
    </row>
    <row r="296" spans="1:13">
      <c r="A296" s="911">
        <v>9</v>
      </c>
      <c r="B296" s="903">
        <v>0.82679999999999998</v>
      </c>
      <c r="C296" s="903">
        <v>0.82679999999999998</v>
      </c>
      <c r="D296" s="903">
        <v>0.80279999999999996</v>
      </c>
      <c r="E296" s="903">
        <v>0.80279999999999996</v>
      </c>
      <c r="F296" s="903">
        <v>0.80279999999999996</v>
      </c>
      <c r="G296" s="903">
        <v>0.80279999999999996</v>
      </c>
      <c r="H296" s="903">
        <v>0.80279999999999996</v>
      </c>
      <c r="I296" s="903">
        <v>0.65569999999999995</v>
      </c>
      <c r="J296" s="903">
        <v>0.65569999999999995</v>
      </c>
      <c r="K296" s="903">
        <v>0.65569999999999995</v>
      </c>
      <c r="L296" s="903">
        <v>0.65569999999999995</v>
      </c>
      <c r="M296" s="903">
        <v>0.65569999999999995</v>
      </c>
    </row>
    <row r="297" spans="1:13">
      <c r="A297" s="911">
        <v>9.1</v>
      </c>
      <c r="B297" s="903">
        <v>0.82620000000000005</v>
      </c>
      <c r="C297" s="903">
        <v>0.82620000000000005</v>
      </c>
      <c r="D297" s="903">
        <v>0.80200000000000005</v>
      </c>
      <c r="E297" s="903">
        <v>0.80200000000000005</v>
      </c>
      <c r="F297" s="903">
        <v>0.80200000000000005</v>
      </c>
      <c r="G297" s="903">
        <v>0.80200000000000005</v>
      </c>
      <c r="H297" s="903">
        <v>0.80200000000000005</v>
      </c>
      <c r="I297" s="903">
        <v>0.65480000000000005</v>
      </c>
      <c r="J297" s="903">
        <v>0.65480000000000005</v>
      </c>
      <c r="K297" s="903">
        <v>0.65480000000000005</v>
      </c>
      <c r="L297" s="903">
        <v>0.65480000000000005</v>
      </c>
      <c r="M297" s="903">
        <v>0.65480000000000005</v>
      </c>
    </row>
    <row r="298" spans="1:13">
      <c r="A298" s="911">
        <v>9.1999999999999993</v>
      </c>
      <c r="B298" s="903">
        <v>0.8256</v>
      </c>
      <c r="C298" s="903">
        <v>0.8256</v>
      </c>
      <c r="D298" s="903">
        <v>0.80120000000000002</v>
      </c>
      <c r="E298" s="903">
        <v>0.80120000000000002</v>
      </c>
      <c r="F298" s="903">
        <v>0.80120000000000002</v>
      </c>
      <c r="G298" s="903">
        <v>0.80120000000000002</v>
      </c>
      <c r="H298" s="903">
        <v>0.80120000000000002</v>
      </c>
      <c r="I298" s="903">
        <v>0.65380000000000005</v>
      </c>
      <c r="J298" s="903">
        <v>0.65380000000000005</v>
      </c>
      <c r="K298" s="903">
        <v>0.65380000000000005</v>
      </c>
      <c r="L298" s="903">
        <v>0.65380000000000005</v>
      </c>
      <c r="M298" s="903">
        <v>0.65380000000000005</v>
      </c>
    </row>
    <row r="299" spans="1:13">
      <c r="A299" s="911">
        <v>9.3000000000000007</v>
      </c>
      <c r="B299" s="903">
        <v>0.82499999999999996</v>
      </c>
      <c r="C299" s="903">
        <v>0.82499999999999996</v>
      </c>
      <c r="D299" s="903">
        <v>0.8004</v>
      </c>
      <c r="E299" s="903">
        <v>0.8004</v>
      </c>
      <c r="F299" s="903">
        <v>0.8004</v>
      </c>
      <c r="G299" s="903">
        <v>0.8004</v>
      </c>
      <c r="H299" s="903">
        <v>0.8004</v>
      </c>
      <c r="I299" s="903">
        <v>0.65290000000000004</v>
      </c>
      <c r="J299" s="903">
        <v>0.65290000000000004</v>
      </c>
      <c r="K299" s="903">
        <v>0.65290000000000004</v>
      </c>
      <c r="L299" s="903">
        <v>0.65290000000000004</v>
      </c>
      <c r="M299" s="903">
        <v>0.65290000000000004</v>
      </c>
    </row>
    <row r="300" spans="1:13">
      <c r="A300" s="911">
        <v>9.4</v>
      </c>
      <c r="B300" s="903">
        <v>0.82440000000000002</v>
      </c>
      <c r="C300" s="903">
        <v>0.82440000000000002</v>
      </c>
      <c r="D300" s="903">
        <v>0.79959999999999998</v>
      </c>
      <c r="E300" s="903">
        <v>0.79959999999999998</v>
      </c>
      <c r="F300" s="903">
        <v>0.79959999999999998</v>
      </c>
      <c r="G300" s="903">
        <v>0.79959999999999998</v>
      </c>
      <c r="H300" s="903">
        <v>0.79959999999999998</v>
      </c>
      <c r="I300" s="903">
        <v>0.65190000000000003</v>
      </c>
      <c r="J300" s="903">
        <v>0.65190000000000003</v>
      </c>
      <c r="K300" s="903">
        <v>0.65190000000000003</v>
      </c>
      <c r="L300" s="903">
        <v>0.65190000000000003</v>
      </c>
      <c r="M300" s="903">
        <v>0.65190000000000003</v>
      </c>
    </row>
    <row r="301" spans="1:13">
      <c r="A301" s="911">
        <v>9.5</v>
      </c>
      <c r="B301" s="903">
        <v>0.82379999999999998</v>
      </c>
      <c r="C301" s="903">
        <v>0.82379999999999998</v>
      </c>
      <c r="D301" s="903">
        <v>0.79879999999999995</v>
      </c>
      <c r="E301" s="903">
        <v>0.79879999999999995</v>
      </c>
      <c r="F301" s="903">
        <v>0.79879999999999995</v>
      </c>
      <c r="G301" s="903">
        <v>0.79879999999999995</v>
      </c>
      <c r="H301" s="903">
        <v>0.79879999999999995</v>
      </c>
      <c r="I301" s="903">
        <v>0.65100000000000002</v>
      </c>
      <c r="J301" s="903">
        <v>0.65100000000000002</v>
      </c>
      <c r="K301" s="903">
        <v>0.65100000000000002</v>
      </c>
      <c r="L301" s="903">
        <v>0.65100000000000002</v>
      </c>
      <c r="M301" s="903">
        <v>0.65100000000000002</v>
      </c>
    </row>
    <row r="302" spans="1:13">
      <c r="A302" s="911">
        <v>9.6</v>
      </c>
      <c r="B302" s="903">
        <v>0.82320000000000004</v>
      </c>
      <c r="C302" s="903">
        <v>0.82320000000000004</v>
      </c>
      <c r="D302" s="903">
        <v>0.79800000000000004</v>
      </c>
      <c r="E302" s="903">
        <v>0.79800000000000004</v>
      </c>
      <c r="F302" s="903">
        <v>0.79800000000000004</v>
      </c>
      <c r="G302" s="903">
        <v>0.79800000000000004</v>
      </c>
      <c r="H302" s="903">
        <v>0.79800000000000004</v>
      </c>
      <c r="I302" s="903">
        <v>0.65</v>
      </c>
      <c r="J302" s="903">
        <v>0.65</v>
      </c>
      <c r="K302" s="903">
        <v>0.65</v>
      </c>
      <c r="L302" s="903">
        <v>0.65</v>
      </c>
      <c r="M302" s="903">
        <v>0.65</v>
      </c>
    </row>
    <row r="303" spans="1:13">
      <c r="A303" s="911">
        <v>9.6999999999999993</v>
      </c>
      <c r="B303" s="903">
        <v>0.8226</v>
      </c>
      <c r="C303" s="903">
        <v>0.8226</v>
      </c>
      <c r="D303" s="903">
        <v>0.79720000000000002</v>
      </c>
      <c r="E303" s="903">
        <v>0.79720000000000002</v>
      </c>
      <c r="F303" s="903">
        <v>0.79720000000000002</v>
      </c>
      <c r="G303" s="903">
        <v>0.79720000000000002</v>
      </c>
      <c r="H303" s="903">
        <v>0.79720000000000002</v>
      </c>
      <c r="I303" s="903">
        <v>0.64900000000000002</v>
      </c>
      <c r="J303" s="903">
        <v>0.64900000000000002</v>
      </c>
      <c r="K303" s="903">
        <v>0.64900000000000002</v>
      </c>
      <c r="L303" s="903">
        <v>0.64900000000000002</v>
      </c>
      <c r="M303" s="903">
        <v>0.64900000000000002</v>
      </c>
    </row>
    <row r="304" spans="1:13">
      <c r="A304" s="911">
        <v>9.8000000000000007</v>
      </c>
      <c r="B304" s="903">
        <v>0.82199999999999995</v>
      </c>
      <c r="C304" s="903">
        <v>0.82199999999999995</v>
      </c>
      <c r="D304" s="903">
        <v>0.7964</v>
      </c>
      <c r="E304" s="903">
        <v>0.7964</v>
      </c>
      <c r="F304" s="903">
        <v>0.7964</v>
      </c>
      <c r="G304" s="903">
        <v>0.7964</v>
      </c>
      <c r="H304" s="903">
        <v>0.7964</v>
      </c>
      <c r="I304" s="903">
        <v>0.64810000000000001</v>
      </c>
      <c r="J304" s="903">
        <v>0.64810000000000001</v>
      </c>
      <c r="K304" s="903">
        <v>0.64810000000000001</v>
      </c>
      <c r="L304" s="903">
        <v>0.64810000000000001</v>
      </c>
      <c r="M304" s="903">
        <v>0.64810000000000001</v>
      </c>
    </row>
    <row r="305" spans="1:13">
      <c r="A305" s="911">
        <v>9.9</v>
      </c>
      <c r="B305" s="903">
        <v>0.82140000000000002</v>
      </c>
      <c r="C305" s="903">
        <v>0.82140000000000002</v>
      </c>
      <c r="D305" s="903">
        <v>0.79559999999999997</v>
      </c>
      <c r="E305" s="903">
        <v>0.79559999999999997</v>
      </c>
      <c r="F305" s="903">
        <v>0.79559999999999997</v>
      </c>
      <c r="G305" s="903">
        <v>0.79559999999999997</v>
      </c>
      <c r="H305" s="903">
        <v>0.79559999999999997</v>
      </c>
      <c r="I305" s="903">
        <v>0.64710000000000001</v>
      </c>
      <c r="J305" s="903">
        <v>0.64710000000000001</v>
      </c>
      <c r="K305" s="903">
        <v>0.64710000000000001</v>
      </c>
      <c r="L305" s="903">
        <v>0.64710000000000001</v>
      </c>
      <c r="M305" s="903">
        <v>0.64710000000000001</v>
      </c>
    </row>
    <row r="306" spans="1:13">
      <c r="A306" s="911">
        <v>10</v>
      </c>
      <c r="B306" s="903">
        <v>0.82079999999999997</v>
      </c>
      <c r="C306" s="903">
        <v>0.82079999999999997</v>
      </c>
      <c r="D306" s="903">
        <v>0.79479999999999995</v>
      </c>
      <c r="E306" s="903">
        <v>0.79479999999999995</v>
      </c>
      <c r="F306" s="903">
        <v>0.79479999999999995</v>
      </c>
      <c r="G306" s="903">
        <v>0.79479999999999995</v>
      </c>
      <c r="H306" s="903">
        <v>0.79479999999999995</v>
      </c>
      <c r="I306" s="903">
        <v>0.6462</v>
      </c>
      <c r="J306" s="903">
        <v>0.6462</v>
      </c>
      <c r="K306" s="903">
        <v>0.6462</v>
      </c>
      <c r="L306" s="903">
        <v>0.6462</v>
      </c>
      <c r="M306" s="903">
        <v>0.6462</v>
      </c>
    </row>
    <row r="307" spans="1:13" ht="14.25">
      <c r="A307" s="893" t="s">
        <v>750</v>
      </c>
      <c r="B307" s="894"/>
      <c r="C307" s="894"/>
      <c r="D307" s="894"/>
      <c r="E307" s="894"/>
      <c r="F307" s="894"/>
      <c r="G307" s="894"/>
      <c r="H307" s="894"/>
      <c r="I307" s="894"/>
      <c r="J307" s="894"/>
      <c r="K307" s="894"/>
      <c r="L307" s="894"/>
      <c r="M307" s="894"/>
    </row>
    <row r="308" spans="1:13">
      <c r="A308" s="896" t="s">
        <v>746</v>
      </c>
      <c r="B308" s="897" t="s">
        <v>157</v>
      </c>
      <c r="C308" s="897" t="s">
        <v>158</v>
      </c>
      <c r="D308" s="897" t="s">
        <v>159</v>
      </c>
      <c r="E308" s="897" t="s">
        <v>160</v>
      </c>
      <c r="F308" s="897" t="s">
        <v>161</v>
      </c>
      <c r="G308" s="897" t="s">
        <v>162</v>
      </c>
      <c r="H308" s="898" t="s">
        <v>163</v>
      </c>
      <c r="I308" s="898" t="s">
        <v>164</v>
      </c>
      <c r="J308" s="899" t="s">
        <v>165</v>
      </c>
      <c r="K308" s="899" t="s">
        <v>166</v>
      </c>
      <c r="L308" s="899" t="s">
        <v>167</v>
      </c>
      <c r="M308" s="899" t="s">
        <v>168</v>
      </c>
    </row>
    <row r="309" spans="1:13">
      <c r="A309" s="896">
        <v>0.1</v>
      </c>
      <c r="B309" s="903">
        <v>11.506</v>
      </c>
      <c r="C309" s="903">
        <v>11.506</v>
      </c>
      <c r="D309" s="903">
        <v>12.015000000000001</v>
      </c>
      <c r="E309" s="903">
        <v>12.015000000000001</v>
      </c>
      <c r="F309" s="903">
        <v>12.015000000000001</v>
      </c>
      <c r="G309" s="903">
        <v>11.118</v>
      </c>
      <c r="H309" s="903">
        <v>11.118</v>
      </c>
      <c r="I309" s="903">
        <v>10</v>
      </c>
      <c r="J309" s="903">
        <v>10</v>
      </c>
      <c r="K309" s="903">
        <v>10</v>
      </c>
      <c r="L309" s="903">
        <v>10</v>
      </c>
      <c r="M309" s="903">
        <v>10</v>
      </c>
    </row>
    <row r="310" spans="1:13">
      <c r="A310" s="896">
        <v>0.2</v>
      </c>
      <c r="B310" s="903">
        <v>5.7530000000000001</v>
      </c>
      <c r="C310" s="903">
        <v>5.7530000000000001</v>
      </c>
      <c r="D310" s="903">
        <v>6.0075000000000003</v>
      </c>
      <c r="E310" s="903">
        <v>6.0075000000000003</v>
      </c>
      <c r="F310" s="903">
        <v>6.0075000000000003</v>
      </c>
      <c r="G310" s="903">
        <v>5.5590000000000002</v>
      </c>
      <c r="H310" s="903">
        <v>5.5590000000000002</v>
      </c>
      <c r="I310" s="903">
        <v>5</v>
      </c>
      <c r="J310" s="903">
        <v>5</v>
      </c>
      <c r="K310" s="903">
        <v>5</v>
      </c>
      <c r="L310" s="903">
        <v>5</v>
      </c>
      <c r="M310" s="903">
        <v>5</v>
      </c>
    </row>
    <row r="311" spans="1:13">
      <c r="A311" s="896">
        <v>0.3</v>
      </c>
      <c r="B311" s="903">
        <v>3.8353000000000002</v>
      </c>
      <c r="C311" s="903">
        <v>3.8353000000000002</v>
      </c>
      <c r="D311" s="903">
        <v>4.0049999999999999</v>
      </c>
      <c r="E311" s="903">
        <v>4.0049999999999999</v>
      </c>
      <c r="F311" s="903">
        <v>4.0049999999999999</v>
      </c>
      <c r="G311" s="903">
        <v>3.706</v>
      </c>
      <c r="H311" s="903">
        <v>3.706</v>
      </c>
      <c r="I311" s="903">
        <v>3.3332999999999999</v>
      </c>
      <c r="J311" s="903">
        <v>3.3332999999999999</v>
      </c>
      <c r="K311" s="903">
        <v>3.3332999999999999</v>
      </c>
      <c r="L311" s="903">
        <v>3.3332999999999999</v>
      </c>
      <c r="M311" s="903">
        <v>3.3332999999999999</v>
      </c>
    </row>
    <row r="312" spans="1:13">
      <c r="A312" s="896">
        <v>0.4</v>
      </c>
      <c r="B312" s="903">
        <v>2.8765000000000001</v>
      </c>
      <c r="C312" s="903">
        <v>2.8765000000000001</v>
      </c>
      <c r="D312" s="903">
        <v>3.0038</v>
      </c>
      <c r="E312" s="903">
        <v>3.0038</v>
      </c>
      <c r="F312" s="903">
        <v>3.0038</v>
      </c>
      <c r="G312" s="903">
        <v>2.7795000000000001</v>
      </c>
      <c r="H312" s="903">
        <v>2.7795000000000001</v>
      </c>
      <c r="I312" s="903">
        <v>2.5</v>
      </c>
      <c r="J312" s="903">
        <v>2.5</v>
      </c>
      <c r="K312" s="903">
        <v>2.5</v>
      </c>
      <c r="L312" s="903">
        <v>2.5</v>
      </c>
      <c r="M312" s="903">
        <v>2.5</v>
      </c>
    </row>
    <row r="313" spans="1:13">
      <c r="A313" s="896">
        <v>0.5</v>
      </c>
      <c r="B313" s="903">
        <v>2.3012000000000001</v>
      </c>
      <c r="C313" s="903">
        <v>2.3012000000000001</v>
      </c>
      <c r="D313" s="903">
        <v>2.403</v>
      </c>
      <c r="E313" s="903">
        <v>2.403</v>
      </c>
      <c r="F313" s="903">
        <v>2.403</v>
      </c>
      <c r="G313" s="903">
        <v>2.2235999999999998</v>
      </c>
      <c r="H313" s="903">
        <v>2.2235999999999998</v>
      </c>
      <c r="I313" s="903">
        <v>2</v>
      </c>
      <c r="J313" s="903">
        <v>2</v>
      </c>
      <c r="K313" s="903">
        <v>2</v>
      </c>
      <c r="L313" s="903">
        <v>2</v>
      </c>
      <c r="M313" s="903">
        <v>2</v>
      </c>
    </row>
    <row r="314" spans="1:13">
      <c r="A314" s="896">
        <v>0.6</v>
      </c>
      <c r="B314" s="903">
        <v>1.9177</v>
      </c>
      <c r="C314" s="903">
        <v>1.9177</v>
      </c>
      <c r="D314" s="903">
        <v>2.0024999999999999</v>
      </c>
      <c r="E314" s="903">
        <v>2.0024999999999999</v>
      </c>
      <c r="F314" s="903">
        <v>2.0024999999999999</v>
      </c>
      <c r="G314" s="903">
        <v>1.853</v>
      </c>
      <c r="H314" s="903">
        <v>1.853</v>
      </c>
      <c r="I314" s="903">
        <v>1.6667000000000001</v>
      </c>
      <c r="J314" s="903">
        <v>1.6667000000000001</v>
      </c>
      <c r="K314" s="903">
        <v>1.6667000000000001</v>
      </c>
      <c r="L314" s="903">
        <v>1.6667000000000001</v>
      </c>
      <c r="M314" s="903">
        <v>1.6667000000000001</v>
      </c>
    </row>
    <row r="315" spans="1:13">
      <c r="A315" s="896">
        <v>0.7</v>
      </c>
      <c r="B315" s="903">
        <v>1.6436999999999999</v>
      </c>
      <c r="C315" s="903">
        <v>1.6436999999999999</v>
      </c>
      <c r="D315" s="903">
        <v>1.7163999999999999</v>
      </c>
      <c r="E315" s="903">
        <v>1.7163999999999999</v>
      </c>
      <c r="F315" s="903">
        <v>1.7163999999999999</v>
      </c>
      <c r="G315" s="903">
        <v>1.5883</v>
      </c>
      <c r="H315" s="903">
        <v>1.5883</v>
      </c>
      <c r="I315" s="903">
        <v>1.4286000000000001</v>
      </c>
      <c r="J315" s="903">
        <v>1.4286000000000001</v>
      </c>
      <c r="K315" s="903">
        <v>1.4286000000000001</v>
      </c>
      <c r="L315" s="903">
        <v>1.4286000000000001</v>
      </c>
      <c r="M315" s="903">
        <v>1.4286000000000001</v>
      </c>
    </row>
    <row r="316" spans="1:13">
      <c r="A316" s="896">
        <v>0.8</v>
      </c>
      <c r="B316" s="903">
        <v>1.4382999999999999</v>
      </c>
      <c r="C316" s="903">
        <v>1.4382999999999999</v>
      </c>
      <c r="D316" s="903">
        <v>1.5019</v>
      </c>
      <c r="E316" s="903">
        <v>1.5019</v>
      </c>
      <c r="F316" s="903">
        <v>1.5019</v>
      </c>
      <c r="G316" s="903">
        <v>1.3897999999999999</v>
      </c>
      <c r="H316" s="903">
        <v>1.3897999999999999</v>
      </c>
      <c r="I316" s="903">
        <v>1.25</v>
      </c>
      <c r="J316" s="903">
        <v>1.25</v>
      </c>
      <c r="K316" s="903">
        <v>1.25</v>
      </c>
      <c r="L316" s="903">
        <v>1.25</v>
      </c>
      <c r="M316" s="903">
        <v>1.25</v>
      </c>
    </row>
    <row r="317" spans="1:13">
      <c r="A317" s="896">
        <v>0.9</v>
      </c>
      <c r="B317" s="903">
        <v>1.2784</v>
      </c>
      <c r="C317" s="903">
        <v>1.2784</v>
      </c>
      <c r="D317" s="903">
        <v>1.335</v>
      </c>
      <c r="E317" s="903">
        <v>1.335</v>
      </c>
      <c r="F317" s="903">
        <v>1.335</v>
      </c>
      <c r="G317" s="903">
        <v>1.2353000000000001</v>
      </c>
      <c r="H317" s="903">
        <v>1.2353000000000001</v>
      </c>
      <c r="I317" s="903">
        <v>1.1111</v>
      </c>
      <c r="J317" s="903">
        <v>1.1111</v>
      </c>
      <c r="K317" s="903">
        <v>1.1111</v>
      </c>
      <c r="L317" s="903">
        <v>1.1111</v>
      </c>
      <c r="M317" s="903">
        <v>1.1111</v>
      </c>
    </row>
    <row r="318" spans="1:13">
      <c r="A318" s="896">
        <v>1</v>
      </c>
      <c r="B318" s="903">
        <v>1.1506000000000001</v>
      </c>
      <c r="C318" s="903">
        <v>1.1506000000000001</v>
      </c>
      <c r="D318" s="903">
        <v>1.2015</v>
      </c>
      <c r="E318" s="903">
        <v>1.2015</v>
      </c>
      <c r="F318" s="903">
        <v>1.2015</v>
      </c>
      <c r="G318" s="903">
        <v>1.1117999999999999</v>
      </c>
      <c r="H318" s="903">
        <v>1.1117999999999999</v>
      </c>
      <c r="I318" s="903">
        <v>1</v>
      </c>
      <c r="J318" s="903">
        <v>1</v>
      </c>
      <c r="K318" s="903">
        <v>1</v>
      </c>
      <c r="L318" s="903">
        <v>1</v>
      </c>
      <c r="M318" s="903">
        <v>1</v>
      </c>
    </row>
    <row r="319" spans="1:13">
      <c r="A319" s="896">
        <v>1.1000000000000001</v>
      </c>
      <c r="B319" s="903">
        <v>1.1158999999999999</v>
      </c>
      <c r="C319" s="903">
        <v>1.1158999999999999</v>
      </c>
      <c r="D319" s="903">
        <v>1.1440999999999999</v>
      </c>
      <c r="E319" s="903">
        <v>1.1440999999999999</v>
      </c>
      <c r="F319" s="903">
        <v>1.1440999999999999</v>
      </c>
      <c r="G319" s="903">
        <v>1.0492999999999999</v>
      </c>
      <c r="H319" s="903">
        <v>1.0492999999999999</v>
      </c>
      <c r="I319" s="903">
        <v>0.93730000000000002</v>
      </c>
      <c r="J319" s="903">
        <v>0.93730000000000002</v>
      </c>
      <c r="K319" s="903">
        <v>0.93730000000000002</v>
      </c>
      <c r="L319" s="903">
        <v>0.93730000000000002</v>
      </c>
      <c r="M319" s="903">
        <v>0.93730000000000002</v>
      </c>
    </row>
    <row r="320" spans="1:13">
      <c r="A320" s="896">
        <v>1.2</v>
      </c>
      <c r="B320" s="903">
        <v>1.0837000000000001</v>
      </c>
      <c r="C320" s="903">
        <v>1.0837000000000001</v>
      </c>
      <c r="D320" s="903">
        <v>1.0972999999999999</v>
      </c>
      <c r="E320" s="903">
        <v>1.0972999999999999</v>
      </c>
      <c r="F320" s="903">
        <v>1.0972999999999999</v>
      </c>
      <c r="G320" s="903">
        <v>1</v>
      </c>
      <c r="H320" s="903">
        <v>1</v>
      </c>
      <c r="I320" s="903">
        <v>0.88890000000000002</v>
      </c>
      <c r="J320" s="903">
        <v>0.88890000000000002</v>
      </c>
      <c r="K320" s="903">
        <v>0.88890000000000002</v>
      </c>
      <c r="L320" s="903">
        <v>0.88890000000000002</v>
      </c>
      <c r="M320" s="903">
        <v>0.88890000000000002</v>
      </c>
    </row>
    <row r="321" spans="1:13">
      <c r="A321" s="896">
        <v>1.3</v>
      </c>
      <c r="B321" s="903">
        <v>1.0538000000000001</v>
      </c>
      <c r="C321" s="903">
        <v>1.0538000000000001</v>
      </c>
      <c r="D321" s="903">
        <v>1.0589999999999999</v>
      </c>
      <c r="E321" s="903">
        <v>1.0589999999999999</v>
      </c>
      <c r="F321" s="903">
        <v>1.0589999999999999</v>
      </c>
      <c r="G321" s="903">
        <v>0.96140000000000003</v>
      </c>
      <c r="H321" s="903">
        <v>0.96140000000000003</v>
      </c>
      <c r="I321" s="903">
        <v>0.85209999999999997</v>
      </c>
      <c r="J321" s="903">
        <v>0.85209999999999997</v>
      </c>
      <c r="K321" s="903">
        <v>0.85209999999999997</v>
      </c>
      <c r="L321" s="903">
        <v>0.85209999999999997</v>
      </c>
      <c r="M321" s="903">
        <v>0.85209999999999997</v>
      </c>
    </row>
    <row r="322" spans="1:13">
      <c r="A322" s="896">
        <v>1.4</v>
      </c>
      <c r="B322" s="903">
        <v>1.026</v>
      </c>
      <c r="C322" s="903">
        <v>1.026</v>
      </c>
      <c r="D322" s="903">
        <v>1.0271999999999999</v>
      </c>
      <c r="E322" s="903">
        <v>1.0271999999999999</v>
      </c>
      <c r="F322" s="903">
        <v>1.0271999999999999</v>
      </c>
      <c r="G322" s="903">
        <v>0.93079999999999996</v>
      </c>
      <c r="H322" s="903">
        <v>0.93079999999999996</v>
      </c>
      <c r="I322" s="903">
        <v>0.82379999999999998</v>
      </c>
      <c r="J322" s="903">
        <v>0.82379999999999998</v>
      </c>
      <c r="K322" s="903">
        <v>0.82379999999999998</v>
      </c>
      <c r="L322" s="903">
        <v>0.82379999999999998</v>
      </c>
      <c r="M322" s="903">
        <v>0.82379999999999998</v>
      </c>
    </row>
    <row r="323" spans="1:13">
      <c r="A323" s="896">
        <v>1.5</v>
      </c>
      <c r="B323" s="903">
        <v>1</v>
      </c>
      <c r="C323" s="903">
        <v>1</v>
      </c>
      <c r="D323" s="903">
        <v>1</v>
      </c>
      <c r="E323" s="903">
        <v>1</v>
      </c>
      <c r="F323" s="903">
        <v>1</v>
      </c>
      <c r="G323" s="903">
        <v>0.90559999999999996</v>
      </c>
      <c r="H323" s="903">
        <v>0.90559999999999996</v>
      </c>
      <c r="I323" s="903">
        <v>0.80110000000000003</v>
      </c>
      <c r="J323" s="903">
        <v>0.80110000000000003</v>
      </c>
      <c r="K323" s="903">
        <v>0.80110000000000003</v>
      </c>
      <c r="L323" s="903">
        <v>0.80110000000000003</v>
      </c>
      <c r="M323" s="903">
        <v>0.80110000000000003</v>
      </c>
    </row>
    <row r="324" spans="1:13">
      <c r="A324" s="896">
        <v>1.6</v>
      </c>
      <c r="B324" s="903">
        <v>0.97570000000000001</v>
      </c>
      <c r="C324" s="903">
        <v>0.97570000000000001</v>
      </c>
      <c r="D324" s="903">
        <v>0.97519999999999996</v>
      </c>
      <c r="E324" s="903">
        <v>0.97519999999999996</v>
      </c>
      <c r="F324" s="903">
        <v>0.97519999999999996</v>
      </c>
      <c r="G324" s="903">
        <v>0.8831</v>
      </c>
      <c r="H324" s="903">
        <v>0.8831</v>
      </c>
      <c r="I324" s="903">
        <v>0.78100000000000003</v>
      </c>
      <c r="J324" s="903">
        <v>0.78100000000000003</v>
      </c>
      <c r="K324" s="903">
        <v>0.78100000000000003</v>
      </c>
      <c r="L324" s="903">
        <v>0.78100000000000003</v>
      </c>
      <c r="M324" s="903">
        <v>0.78100000000000003</v>
      </c>
    </row>
    <row r="325" spans="1:13">
      <c r="A325" s="896">
        <v>1.7</v>
      </c>
      <c r="B325" s="903">
        <v>0.95289999999999997</v>
      </c>
      <c r="C325" s="903">
        <v>0.95289999999999997</v>
      </c>
      <c r="D325" s="903">
        <v>0.95189999999999997</v>
      </c>
      <c r="E325" s="903">
        <v>0.95189999999999997</v>
      </c>
      <c r="F325" s="903">
        <v>0.95189999999999997</v>
      </c>
      <c r="G325" s="903">
        <v>0.86180000000000001</v>
      </c>
      <c r="H325" s="903">
        <v>0.86180000000000001</v>
      </c>
      <c r="I325" s="903">
        <v>0.7621</v>
      </c>
      <c r="J325" s="903">
        <v>0.7621</v>
      </c>
      <c r="K325" s="903">
        <v>0.7621</v>
      </c>
      <c r="L325" s="903">
        <v>0.7621</v>
      </c>
      <c r="M325" s="903">
        <v>0.7621</v>
      </c>
    </row>
    <row r="326" spans="1:13">
      <c r="A326" s="896">
        <v>1.8</v>
      </c>
      <c r="B326" s="903">
        <v>0.93149999999999999</v>
      </c>
      <c r="C326" s="903">
        <v>0.93149999999999999</v>
      </c>
      <c r="D326" s="903">
        <v>0.93</v>
      </c>
      <c r="E326" s="903">
        <v>0.93</v>
      </c>
      <c r="F326" s="903">
        <v>0.93</v>
      </c>
      <c r="G326" s="903">
        <v>0.84179999999999999</v>
      </c>
      <c r="H326" s="903">
        <v>0.84179999999999999</v>
      </c>
      <c r="I326" s="903">
        <v>0.74419999999999997</v>
      </c>
      <c r="J326" s="903">
        <v>0.74419999999999997</v>
      </c>
      <c r="K326" s="903">
        <v>0.74419999999999997</v>
      </c>
      <c r="L326" s="903">
        <v>0.74419999999999997</v>
      </c>
      <c r="M326" s="903">
        <v>0.74419999999999997</v>
      </c>
    </row>
    <row r="327" spans="1:13">
      <c r="A327" s="896">
        <v>1.9</v>
      </c>
      <c r="B327" s="903">
        <v>0.91139999999999999</v>
      </c>
      <c r="C327" s="903">
        <v>0.91139999999999999</v>
      </c>
      <c r="D327" s="903">
        <v>0.90939999999999999</v>
      </c>
      <c r="E327" s="903">
        <v>0.90939999999999999</v>
      </c>
      <c r="F327" s="903">
        <v>0.90939999999999999</v>
      </c>
      <c r="G327" s="903">
        <v>0.82289999999999996</v>
      </c>
      <c r="H327" s="903">
        <v>0.82289999999999996</v>
      </c>
      <c r="I327" s="903">
        <v>0.72740000000000005</v>
      </c>
      <c r="J327" s="903">
        <v>0.72740000000000005</v>
      </c>
      <c r="K327" s="903">
        <v>0.72740000000000005</v>
      </c>
      <c r="L327" s="903">
        <v>0.72740000000000005</v>
      </c>
      <c r="M327" s="903">
        <v>0.72740000000000005</v>
      </c>
    </row>
    <row r="328" spans="1:13">
      <c r="A328" s="896">
        <v>2</v>
      </c>
      <c r="B328" s="903">
        <v>0.89270000000000005</v>
      </c>
      <c r="C328" s="903">
        <v>0.89270000000000005</v>
      </c>
      <c r="D328" s="903">
        <v>0.8901</v>
      </c>
      <c r="E328" s="903">
        <v>0.8901</v>
      </c>
      <c r="F328" s="903">
        <v>0.8901</v>
      </c>
      <c r="G328" s="903">
        <v>0.80530000000000002</v>
      </c>
      <c r="H328" s="903">
        <v>0.80530000000000002</v>
      </c>
      <c r="I328" s="903">
        <v>0.71160000000000001</v>
      </c>
      <c r="J328" s="903">
        <v>0.71160000000000001</v>
      </c>
      <c r="K328" s="903">
        <v>0.71160000000000001</v>
      </c>
      <c r="L328" s="903">
        <v>0.71160000000000001</v>
      </c>
      <c r="M328" s="903">
        <v>0.71160000000000001</v>
      </c>
    </row>
    <row r="329" spans="1:13">
      <c r="A329" s="911">
        <v>2.1</v>
      </c>
      <c r="B329" s="903">
        <v>0.87519999999999998</v>
      </c>
      <c r="C329" s="903">
        <v>0.87519999999999998</v>
      </c>
      <c r="D329" s="903">
        <v>0.872</v>
      </c>
      <c r="E329" s="903">
        <v>0.872</v>
      </c>
      <c r="F329" s="903">
        <v>0.872</v>
      </c>
      <c r="G329" s="903">
        <v>0.78869999999999996</v>
      </c>
      <c r="H329" s="903">
        <v>0.78869999999999996</v>
      </c>
      <c r="I329" s="903">
        <v>0.69669999999999999</v>
      </c>
      <c r="J329" s="903">
        <v>0.69669999999999999</v>
      </c>
      <c r="K329" s="903">
        <v>0.69669999999999999</v>
      </c>
      <c r="L329" s="903">
        <v>0.69669999999999999</v>
      </c>
      <c r="M329" s="903">
        <v>0.69669999999999999</v>
      </c>
    </row>
    <row r="330" spans="1:13">
      <c r="A330" s="911">
        <v>2.2000000000000002</v>
      </c>
      <c r="B330" s="903">
        <v>0.85880000000000001</v>
      </c>
      <c r="C330" s="903">
        <v>0.85880000000000001</v>
      </c>
      <c r="D330" s="903">
        <v>0.85499999999999998</v>
      </c>
      <c r="E330" s="903">
        <v>0.85499999999999998</v>
      </c>
      <c r="F330" s="903">
        <v>0.85499999999999998</v>
      </c>
      <c r="G330" s="903">
        <v>0.77300000000000002</v>
      </c>
      <c r="H330" s="903">
        <v>0.77300000000000002</v>
      </c>
      <c r="I330" s="903">
        <v>0.68269999999999997</v>
      </c>
      <c r="J330" s="903">
        <v>0.68269999999999997</v>
      </c>
      <c r="K330" s="903">
        <v>0.68269999999999997</v>
      </c>
      <c r="L330" s="903">
        <v>0.68269999999999997</v>
      </c>
      <c r="M330" s="903">
        <v>0.68269999999999997</v>
      </c>
    </row>
    <row r="331" spans="1:13">
      <c r="A331" s="911">
        <v>2.2999999999999998</v>
      </c>
      <c r="B331" s="903">
        <v>0.84360000000000002</v>
      </c>
      <c r="C331" s="903">
        <v>0.84360000000000002</v>
      </c>
      <c r="D331" s="903">
        <v>0.83899999999999997</v>
      </c>
      <c r="E331" s="903">
        <v>0.83899999999999997</v>
      </c>
      <c r="F331" s="903">
        <v>0.83899999999999997</v>
      </c>
      <c r="G331" s="903">
        <v>0.75839999999999996</v>
      </c>
      <c r="H331" s="903">
        <v>0.75839999999999996</v>
      </c>
      <c r="I331" s="903">
        <v>0.66949999999999998</v>
      </c>
      <c r="J331" s="903">
        <v>0.66949999999999998</v>
      </c>
      <c r="K331" s="903">
        <v>0.66949999999999998</v>
      </c>
      <c r="L331" s="903">
        <v>0.66949999999999998</v>
      </c>
      <c r="M331" s="903">
        <v>0.66949999999999998</v>
      </c>
    </row>
    <row r="332" spans="1:13">
      <c r="A332" s="911">
        <v>2.4</v>
      </c>
      <c r="B332" s="903">
        <v>0.82940000000000003</v>
      </c>
      <c r="C332" s="903">
        <v>0.82940000000000003</v>
      </c>
      <c r="D332" s="903">
        <v>0.82410000000000005</v>
      </c>
      <c r="E332" s="903">
        <v>0.82410000000000005</v>
      </c>
      <c r="F332" s="903">
        <v>0.82410000000000005</v>
      </c>
      <c r="G332" s="903">
        <v>0.74460000000000004</v>
      </c>
      <c r="H332" s="903">
        <v>0.74460000000000004</v>
      </c>
      <c r="I332" s="903">
        <v>0.65710000000000002</v>
      </c>
      <c r="J332" s="903">
        <v>0.65710000000000002</v>
      </c>
      <c r="K332" s="903">
        <v>0.65710000000000002</v>
      </c>
      <c r="L332" s="903">
        <v>0.65710000000000002</v>
      </c>
      <c r="M332" s="903">
        <v>0.65710000000000002</v>
      </c>
    </row>
    <row r="333" spans="1:13">
      <c r="A333" s="911">
        <v>2.5</v>
      </c>
      <c r="B333" s="903">
        <v>0.81620000000000004</v>
      </c>
      <c r="C333" s="903">
        <v>0.81620000000000004</v>
      </c>
      <c r="D333" s="903">
        <v>0.81020000000000003</v>
      </c>
      <c r="E333" s="903">
        <v>0.81020000000000003</v>
      </c>
      <c r="F333" s="903">
        <v>0.81020000000000003</v>
      </c>
      <c r="G333" s="903">
        <v>0.73180000000000001</v>
      </c>
      <c r="H333" s="903">
        <v>0.73180000000000001</v>
      </c>
      <c r="I333" s="903">
        <v>0.64549999999999996</v>
      </c>
      <c r="J333" s="903">
        <v>0.64549999999999996</v>
      </c>
      <c r="K333" s="903">
        <v>0.64549999999999996</v>
      </c>
      <c r="L333" s="903">
        <v>0.64549999999999996</v>
      </c>
      <c r="M333" s="903">
        <v>0.64549999999999996</v>
      </c>
    </row>
    <row r="334" spans="1:13">
      <c r="A334" s="911">
        <v>2.6</v>
      </c>
      <c r="B334" s="903">
        <v>0.80389999999999995</v>
      </c>
      <c r="C334" s="903">
        <v>0.80389999999999995</v>
      </c>
      <c r="D334" s="903">
        <v>0.79710000000000003</v>
      </c>
      <c r="E334" s="903">
        <v>0.79710000000000003</v>
      </c>
      <c r="F334" s="903">
        <v>0.79710000000000003</v>
      </c>
      <c r="G334" s="903">
        <v>0.71970000000000001</v>
      </c>
      <c r="H334" s="903">
        <v>0.71970000000000001</v>
      </c>
      <c r="I334" s="903">
        <v>0.63460000000000005</v>
      </c>
      <c r="J334" s="903">
        <v>0.63460000000000005</v>
      </c>
      <c r="K334" s="903">
        <v>0.63460000000000005</v>
      </c>
      <c r="L334" s="903">
        <v>0.63460000000000005</v>
      </c>
      <c r="M334" s="903">
        <v>0.63460000000000005</v>
      </c>
    </row>
    <row r="335" spans="1:13">
      <c r="A335" s="911">
        <v>2.7</v>
      </c>
      <c r="B335" s="903">
        <v>0.79249999999999998</v>
      </c>
      <c r="C335" s="903">
        <v>0.79249999999999998</v>
      </c>
      <c r="D335" s="903">
        <v>0.78490000000000004</v>
      </c>
      <c r="E335" s="903">
        <v>0.78490000000000004</v>
      </c>
      <c r="F335" s="903">
        <v>0.78490000000000004</v>
      </c>
      <c r="G335" s="903">
        <v>0.70840000000000003</v>
      </c>
      <c r="H335" s="903">
        <v>0.70840000000000003</v>
      </c>
      <c r="I335" s="903">
        <v>0.62439999999999996</v>
      </c>
      <c r="J335" s="903">
        <v>0.62439999999999996</v>
      </c>
      <c r="K335" s="903">
        <v>0.62439999999999996</v>
      </c>
      <c r="L335" s="903">
        <v>0.62439999999999996</v>
      </c>
      <c r="M335" s="903">
        <v>0.62439999999999996</v>
      </c>
    </row>
    <row r="336" spans="1:13">
      <c r="A336" s="911">
        <v>2.8</v>
      </c>
      <c r="B336" s="903">
        <v>0.78190000000000004</v>
      </c>
      <c r="C336" s="903">
        <v>0.78190000000000004</v>
      </c>
      <c r="D336" s="903">
        <v>0.77359999999999995</v>
      </c>
      <c r="E336" s="903">
        <v>0.77359999999999995</v>
      </c>
      <c r="F336" s="903">
        <v>0.77359999999999995</v>
      </c>
      <c r="G336" s="903">
        <v>0.69789999999999996</v>
      </c>
      <c r="H336" s="903">
        <v>0.69789999999999996</v>
      </c>
      <c r="I336" s="903">
        <v>0.61480000000000001</v>
      </c>
      <c r="J336" s="903">
        <v>0.61480000000000001</v>
      </c>
      <c r="K336" s="903">
        <v>0.61480000000000001</v>
      </c>
      <c r="L336" s="903">
        <v>0.61480000000000001</v>
      </c>
      <c r="M336" s="903">
        <v>0.61480000000000001</v>
      </c>
    </row>
    <row r="337" spans="1:13">
      <c r="A337" s="911">
        <v>2.9</v>
      </c>
      <c r="B337" s="903">
        <v>0.77210000000000001</v>
      </c>
      <c r="C337" s="903">
        <v>0.77210000000000001</v>
      </c>
      <c r="D337" s="903">
        <v>0.76300000000000001</v>
      </c>
      <c r="E337" s="903">
        <v>0.76300000000000001</v>
      </c>
      <c r="F337" s="903">
        <v>0.76300000000000001</v>
      </c>
      <c r="G337" s="903">
        <v>0.68799999999999994</v>
      </c>
      <c r="H337" s="903">
        <v>0.68799999999999994</v>
      </c>
      <c r="I337" s="903">
        <v>0.60589999999999999</v>
      </c>
      <c r="J337" s="903">
        <v>0.60589999999999999</v>
      </c>
      <c r="K337" s="903">
        <v>0.60589999999999999</v>
      </c>
      <c r="L337" s="903">
        <v>0.60589999999999999</v>
      </c>
      <c r="M337" s="903">
        <v>0.60589999999999999</v>
      </c>
    </row>
    <row r="338" spans="1:13">
      <c r="A338" s="911">
        <v>3</v>
      </c>
      <c r="B338" s="903">
        <v>0.7631</v>
      </c>
      <c r="C338" s="903">
        <v>0.7631</v>
      </c>
      <c r="D338" s="903">
        <v>0.75309999999999999</v>
      </c>
      <c r="E338" s="903">
        <v>0.75309999999999999</v>
      </c>
      <c r="F338" s="903">
        <v>0.75309999999999999</v>
      </c>
      <c r="G338" s="903">
        <v>0.67879999999999996</v>
      </c>
      <c r="H338" s="903">
        <v>0.67879999999999996</v>
      </c>
      <c r="I338" s="903">
        <v>0.59750000000000003</v>
      </c>
      <c r="J338" s="903">
        <v>0.59750000000000003</v>
      </c>
      <c r="K338" s="903">
        <v>0.59750000000000003</v>
      </c>
      <c r="L338" s="903">
        <v>0.59750000000000003</v>
      </c>
      <c r="M338" s="903">
        <v>0.59750000000000003</v>
      </c>
    </row>
    <row r="339" spans="1:13">
      <c r="A339" s="911">
        <v>3.1</v>
      </c>
      <c r="B339" s="903">
        <v>0.75470000000000004</v>
      </c>
      <c r="C339" s="903">
        <v>0.75470000000000004</v>
      </c>
      <c r="D339" s="903">
        <v>0.74399999999999999</v>
      </c>
      <c r="E339" s="903">
        <v>0.74399999999999999</v>
      </c>
      <c r="F339" s="903">
        <v>0.74399999999999999</v>
      </c>
      <c r="G339" s="903">
        <v>0.67020000000000002</v>
      </c>
      <c r="H339" s="903">
        <v>0.67020000000000002</v>
      </c>
      <c r="I339" s="903">
        <v>0.5897</v>
      </c>
      <c r="J339" s="903">
        <v>0.5897</v>
      </c>
      <c r="K339" s="903">
        <v>0.5897</v>
      </c>
      <c r="L339" s="903">
        <v>0.5897</v>
      </c>
      <c r="M339" s="903">
        <v>0.5897</v>
      </c>
    </row>
    <row r="340" spans="1:13">
      <c r="A340" s="911">
        <v>3.2</v>
      </c>
      <c r="B340" s="903">
        <v>0.747</v>
      </c>
      <c r="C340" s="903">
        <v>0.747</v>
      </c>
      <c r="D340" s="903">
        <v>0.73540000000000005</v>
      </c>
      <c r="E340" s="903">
        <v>0.73540000000000005</v>
      </c>
      <c r="F340" s="903">
        <v>0.73540000000000005</v>
      </c>
      <c r="G340" s="903">
        <v>0.66220000000000001</v>
      </c>
      <c r="H340" s="903">
        <v>0.66220000000000001</v>
      </c>
      <c r="I340" s="903">
        <v>0.58230000000000004</v>
      </c>
      <c r="J340" s="903">
        <v>0.58230000000000004</v>
      </c>
      <c r="K340" s="903">
        <v>0.58230000000000004</v>
      </c>
      <c r="L340" s="903">
        <v>0.58230000000000004</v>
      </c>
      <c r="M340" s="903">
        <v>0.58230000000000004</v>
      </c>
    </row>
    <row r="341" spans="1:13">
      <c r="A341" s="911">
        <v>3.3</v>
      </c>
      <c r="B341" s="903">
        <v>0.7399</v>
      </c>
      <c r="C341" s="903">
        <v>0.7399</v>
      </c>
      <c r="D341" s="903">
        <v>0.72750000000000004</v>
      </c>
      <c r="E341" s="903">
        <v>0.72750000000000004</v>
      </c>
      <c r="F341" s="903">
        <v>0.72750000000000004</v>
      </c>
      <c r="G341" s="903">
        <v>0.65480000000000005</v>
      </c>
      <c r="H341" s="903">
        <v>0.65480000000000005</v>
      </c>
      <c r="I341" s="903">
        <v>0.57540000000000002</v>
      </c>
      <c r="J341" s="903">
        <v>0.57540000000000002</v>
      </c>
      <c r="K341" s="903">
        <v>0.57540000000000002</v>
      </c>
      <c r="L341" s="903">
        <v>0.57540000000000002</v>
      </c>
      <c r="M341" s="903">
        <v>0.57540000000000002</v>
      </c>
    </row>
    <row r="342" spans="1:13">
      <c r="A342" s="911">
        <v>3.4</v>
      </c>
      <c r="B342" s="903">
        <v>0.73340000000000005</v>
      </c>
      <c r="C342" s="903">
        <v>0.73340000000000005</v>
      </c>
      <c r="D342" s="903">
        <v>0.72009999999999996</v>
      </c>
      <c r="E342" s="903">
        <v>0.72009999999999996</v>
      </c>
      <c r="F342" s="903">
        <v>0.72009999999999996</v>
      </c>
      <c r="G342" s="903">
        <v>0.64780000000000004</v>
      </c>
      <c r="H342" s="903">
        <v>0.64780000000000004</v>
      </c>
      <c r="I342" s="903">
        <v>0.56899999999999995</v>
      </c>
      <c r="J342" s="903">
        <v>0.56899999999999995</v>
      </c>
      <c r="K342" s="903">
        <v>0.56899999999999995</v>
      </c>
      <c r="L342" s="903">
        <v>0.56899999999999995</v>
      </c>
      <c r="M342" s="903">
        <v>0.56899999999999995</v>
      </c>
    </row>
    <row r="343" spans="1:13">
      <c r="A343" s="911">
        <v>3.5</v>
      </c>
      <c r="B343" s="903">
        <v>0.72740000000000005</v>
      </c>
      <c r="C343" s="903">
        <v>0.72740000000000005</v>
      </c>
      <c r="D343" s="903">
        <v>0.71330000000000005</v>
      </c>
      <c r="E343" s="903">
        <v>0.71330000000000005</v>
      </c>
      <c r="F343" s="903">
        <v>0.71330000000000005</v>
      </c>
      <c r="G343" s="903">
        <v>0.64129999999999998</v>
      </c>
      <c r="H343" s="903">
        <v>0.64129999999999998</v>
      </c>
      <c r="I343" s="903">
        <v>0.56310000000000004</v>
      </c>
      <c r="J343" s="903">
        <v>0.56310000000000004</v>
      </c>
      <c r="K343" s="903">
        <v>0.56310000000000004</v>
      </c>
      <c r="L343" s="903">
        <v>0.56310000000000004</v>
      </c>
      <c r="M343" s="903">
        <v>0.56310000000000004</v>
      </c>
    </row>
    <row r="344" spans="1:13">
      <c r="A344" s="911">
        <v>3.6</v>
      </c>
      <c r="B344" s="903">
        <v>0.72189999999999999</v>
      </c>
      <c r="C344" s="903">
        <v>0.72189999999999999</v>
      </c>
      <c r="D344" s="903">
        <v>0.70699999999999996</v>
      </c>
      <c r="E344" s="903">
        <v>0.70699999999999996</v>
      </c>
      <c r="F344" s="903">
        <v>0.70699999999999996</v>
      </c>
      <c r="G344" s="903">
        <v>0.63529999999999998</v>
      </c>
      <c r="H344" s="903">
        <v>0.63529999999999998</v>
      </c>
      <c r="I344" s="903">
        <v>0.5575</v>
      </c>
      <c r="J344" s="903">
        <v>0.5575</v>
      </c>
      <c r="K344" s="903">
        <v>0.5575</v>
      </c>
      <c r="L344" s="903">
        <v>0.5575</v>
      </c>
      <c r="M344" s="903">
        <v>0.5575</v>
      </c>
    </row>
    <row r="345" spans="1:13">
      <c r="A345" s="911">
        <v>3.7</v>
      </c>
      <c r="B345" s="903">
        <v>0.71679999999999999</v>
      </c>
      <c r="C345" s="903">
        <v>0.71679999999999999</v>
      </c>
      <c r="D345" s="903">
        <v>0.70109999999999995</v>
      </c>
      <c r="E345" s="903">
        <v>0.70109999999999995</v>
      </c>
      <c r="F345" s="903">
        <v>0.70109999999999995</v>
      </c>
      <c r="G345" s="903">
        <v>0.62970000000000004</v>
      </c>
      <c r="H345" s="903">
        <v>0.62970000000000004</v>
      </c>
      <c r="I345" s="903">
        <v>0.55230000000000001</v>
      </c>
      <c r="J345" s="903">
        <v>0.55230000000000001</v>
      </c>
      <c r="K345" s="903">
        <v>0.55230000000000001</v>
      </c>
      <c r="L345" s="903">
        <v>0.55230000000000001</v>
      </c>
      <c r="M345" s="903">
        <v>0.55230000000000001</v>
      </c>
    </row>
    <row r="346" spans="1:13">
      <c r="A346" s="911">
        <v>3.8</v>
      </c>
      <c r="B346" s="903">
        <v>0.71220000000000006</v>
      </c>
      <c r="C346" s="903">
        <v>0.71220000000000006</v>
      </c>
      <c r="D346" s="903">
        <v>0.6956</v>
      </c>
      <c r="E346" s="903">
        <v>0.6956</v>
      </c>
      <c r="F346" s="903">
        <v>0.6956</v>
      </c>
      <c r="G346" s="903">
        <v>0.62439999999999996</v>
      </c>
      <c r="H346" s="903">
        <v>0.62439999999999996</v>
      </c>
      <c r="I346" s="903">
        <v>0.5474</v>
      </c>
      <c r="J346" s="903">
        <v>0.5474</v>
      </c>
      <c r="K346" s="903">
        <v>0.5474</v>
      </c>
      <c r="L346" s="903">
        <v>0.5474</v>
      </c>
      <c r="M346" s="903">
        <v>0.5474</v>
      </c>
    </row>
    <row r="347" spans="1:13">
      <c r="A347" s="911">
        <v>3.9</v>
      </c>
      <c r="B347" s="903">
        <v>0.70799999999999996</v>
      </c>
      <c r="C347" s="903">
        <v>0.70799999999999996</v>
      </c>
      <c r="D347" s="903">
        <v>0.69059999999999999</v>
      </c>
      <c r="E347" s="903">
        <v>0.69059999999999999</v>
      </c>
      <c r="F347" s="903">
        <v>0.69059999999999999</v>
      </c>
      <c r="G347" s="903">
        <v>0.61950000000000005</v>
      </c>
      <c r="H347" s="903">
        <v>0.61950000000000005</v>
      </c>
      <c r="I347" s="903">
        <v>0.54279999999999995</v>
      </c>
      <c r="J347" s="903">
        <v>0.54279999999999995</v>
      </c>
      <c r="K347" s="903">
        <v>0.54279999999999995</v>
      </c>
      <c r="L347" s="903">
        <v>0.54279999999999995</v>
      </c>
      <c r="M347" s="903">
        <v>0.54279999999999995</v>
      </c>
    </row>
    <row r="348" spans="1:13">
      <c r="A348" s="911">
        <v>4</v>
      </c>
      <c r="B348" s="903">
        <v>0.70409999999999995</v>
      </c>
      <c r="C348" s="903">
        <v>0.70409999999999995</v>
      </c>
      <c r="D348" s="903">
        <v>0.68589999999999995</v>
      </c>
      <c r="E348" s="903">
        <v>0.68589999999999995</v>
      </c>
      <c r="F348" s="903">
        <v>0.68589999999999995</v>
      </c>
      <c r="G348" s="903">
        <v>0.61499999999999999</v>
      </c>
      <c r="H348" s="903">
        <v>0.61499999999999999</v>
      </c>
      <c r="I348" s="903">
        <v>0.53859999999999997</v>
      </c>
      <c r="J348" s="903">
        <v>0.53859999999999997</v>
      </c>
      <c r="K348" s="903">
        <v>0.53859999999999997</v>
      </c>
      <c r="L348" s="903">
        <v>0.53859999999999997</v>
      </c>
      <c r="M348" s="903">
        <v>0.53859999999999997</v>
      </c>
    </row>
    <row r="349" spans="1:13">
      <c r="A349" s="911">
        <v>4.0999999999999996</v>
      </c>
      <c r="B349" s="903">
        <v>0.7006</v>
      </c>
      <c r="C349" s="903">
        <v>0.7006</v>
      </c>
      <c r="D349" s="903">
        <v>0.68159999999999998</v>
      </c>
      <c r="E349" s="903">
        <v>0.68159999999999998</v>
      </c>
      <c r="F349" s="903">
        <v>0.68159999999999998</v>
      </c>
      <c r="G349" s="903">
        <v>0.61080000000000001</v>
      </c>
      <c r="H349" s="903">
        <v>0.61080000000000001</v>
      </c>
      <c r="I349" s="903">
        <v>0.53459999999999996</v>
      </c>
      <c r="J349" s="903">
        <v>0.53459999999999996</v>
      </c>
      <c r="K349" s="903">
        <v>0.53459999999999996</v>
      </c>
      <c r="L349" s="903">
        <v>0.53459999999999996</v>
      </c>
      <c r="M349" s="903">
        <v>0.53459999999999996</v>
      </c>
    </row>
    <row r="350" spans="1:13">
      <c r="A350" s="911">
        <v>4.2</v>
      </c>
      <c r="B350" s="903">
        <v>0.69740000000000002</v>
      </c>
      <c r="C350" s="903">
        <v>0.69740000000000002</v>
      </c>
      <c r="D350" s="903">
        <v>0.67759999999999998</v>
      </c>
      <c r="E350" s="903">
        <v>0.67759999999999998</v>
      </c>
      <c r="F350" s="903">
        <v>0.67759999999999998</v>
      </c>
      <c r="G350" s="903">
        <v>0.60699999999999998</v>
      </c>
      <c r="H350" s="903">
        <v>0.60699999999999998</v>
      </c>
      <c r="I350" s="903">
        <v>0.53090000000000004</v>
      </c>
      <c r="J350" s="903">
        <v>0.53090000000000004</v>
      </c>
      <c r="K350" s="903">
        <v>0.53090000000000004</v>
      </c>
      <c r="L350" s="903">
        <v>0.53090000000000004</v>
      </c>
      <c r="M350" s="903">
        <v>0.53090000000000004</v>
      </c>
    </row>
    <row r="351" spans="1:13">
      <c r="A351" s="911">
        <v>4.3</v>
      </c>
      <c r="B351" s="903">
        <v>0.69450000000000001</v>
      </c>
      <c r="C351" s="903">
        <v>0.69450000000000001</v>
      </c>
      <c r="D351" s="903">
        <v>0.67390000000000005</v>
      </c>
      <c r="E351" s="903">
        <v>0.67390000000000005</v>
      </c>
      <c r="F351" s="903">
        <v>0.67390000000000005</v>
      </c>
      <c r="G351" s="903">
        <v>0.60329999999999995</v>
      </c>
      <c r="H351" s="903">
        <v>0.60329999999999995</v>
      </c>
      <c r="I351" s="903">
        <v>0.52739999999999998</v>
      </c>
      <c r="J351" s="903">
        <v>0.52739999999999998</v>
      </c>
      <c r="K351" s="903">
        <v>0.52739999999999998</v>
      </c>
      <c r="L351" s="903">
        <v>0.52739999999999998</v>
      </c>
      <c r="M351" s="903">
        <v>0.52739999999999998</v>
      </c>
    </row>
    <row r="352" spans="1:13">
      <c r="A352" s="911">
        <v>4.4000000000000004</v>
      </c>
      <c r="B352" s="903">
        <v>0.69179999999999997</v>
      </c>
      <c r="C352" s="903">
        <v>0.69179999999999997</v>
      </c>
      <c r="D352" s="903">
        <v>0.67049999999999998</v>
      </c>
      <c r="E352" s="903">
        <v>0.67049999999999998</v>
      </c>
      <c r="F352" s="903">
        <v>0.67049999999999998</v>
      </c>
      <c r="G352" s="903">
        <v>0.59989999999999999</v>
      </c>
      <c r="H352" s="903">
        <v>0.59989999999999999</v>
      </c>
      <c r="I352" s="903">
        <v>0.5242</v>
      </c>
      <c r="J352" s="903">
        <v>0.5242</v>
      </c>
      <c r="K352" s="903">
        <v>0.5242</v>
      </c>
      <c r="L352" s="903">
        <v>0.5242</v>
      </c>
      <c r="M352" s="903">
        <v>0.5242</v>
      </c>
    </row>
    <row r="353" spans="1:13">
      <c r="A353" s="911">
        <v>4.5</v>
      </c>
      <c r="B353" s="903">
        <v>0.68940000000000001</v>
      </c>
      <c r="C353" s="903">
        <v>0.68940000000000001</v>
      </c>
      <c r="D353" s="903">
        <v>0.6673</v>
      </c>
      <c r="E353" s="903">
        <v>0.6673</v>
      </c>
      <c r="F353" s="903">
        <v>0.6673</v>
      </c>
      <c r="G353" s="903">
        <v>0.59670000000000001</v>
      </c>
      <c r="H353" s="903">
        <v>0.59670000000000001</v>
      </c>
      <c r="I353" s="903">
        <v>0.52110000000000001</v>
      </c>
      <c r="J353" s="903">
        <v>0.52110000000000001</v>
      </c>
      <c r="K353" s="903">
        <v>0.52110000000000001</v>
      </c>
      <c r="L353" s="903">
        <v>0.52110000000000001</v>
      </c>
      <c r="M353" s="903">
        <v>0.52110000000000001</v>
      </c>
    </row>
    <row r="354" spans="1:13">
      <c r="A354" s="911">
        <v>4.5999999999999996</v>
      </c>
      <c r="B354" s="903">
        <v>0.68720000000000003</v>
      </c>
      <c r="C354" s="903">
        <v>0.68720000000000003</v>
      </c>
      <c r="D354" s="903">
        <v>0.6643</v>
      </c>
      <c r="E354" s="903">
        <v>0.6643</v>
      </c>
      <c r="F354" s="903">
        <v>0.6643</v>
      </c>
      <c r="G354" s="903">
        <v>0.59379999999999999</v>
      </c>
      <c r="H354" s="903">
        <v>0.59379999999999999</v>
      </c>
      <c r="I354" s="903">
        <v>0.51819999999999999</v>
      </c>
      <c r="J354" s="903">
        <v>0.51819999999999999</v>
      </c>
      <c r="K354" s="903">
        <v>0.51819999999999999</v>
      </c>
      <c r="L354" s="903">
        <v>0.51819999999999999</v>
      </c>
      <c r="M354" s="903">
        <v>0.51819999999999999</v>
      </c>
    </row>
    <row r="355" spans="1:13">
      <c r="A355" s="911">
        <v>4.7</v>
      </c>
      <c r="B355" s="903">
        <v>0.68520000000000003</v>
      </c>
      <c r="C355" s="903">
        <v>0.68520000000000003</v>
      </c>
      <c r="D355" s="903">
        <v>0.66149999999999998</v>
      </c>
      <c r="E355" s="903">
        <v>0.66149999999999998</v>
      </c>
      <c r="F355" s="903">
        <v>0.66149999999999998</v>
      </c>
      <c r="G355" s="903">
        <v>0.59109999999999996</v>
      </c>
      <c r="H355" s="903">
        <v>0.59109999999999996</v>
      </c>
      <c r="I355" s="903">
        <v>0.51559999999999995</v>
      </c>
      <c r="J355" s="903">
        <v>0.51559999999999995</v>
      </c>
      <c r="K355" s="903">
        <v>0.51559999999999995</v>
      </c>
      <c r="L355" s="903">
        <v>0.51559999999999995</v>
      </c>
      <c r="M355" s="903">
        <v>0.51559999999999995</v>
      </c>
    </row>
    <row r="356" spans="1:13">
      <c r="A356" s="911">
        <v>4.8</v>
      </c>
      <c r="B356" s="903">
        <v>0.68340000000000001</v>
      </c>
      <c r="C356" s="903">
        <v>0.68340000000000001</v>
      </c>
      <c r="D356" s="903">
        <v>0.65900000000000003</v>
      </c>
      <c r="E356" s="903">
        <v>0.65900000000000003</v>
      </c>
      <c r="F356" s="903">
        <v>0.65900000000000003</v>
      </c>
      <c r="G356" s="903">
        <v>0.58850000000000002</v>
      </c>
      <c r="H356" s="903">
        <v>0.58850000000000002</v>
      </c>
      <c r="I356" s="903">
        <v>0.51300000000000001</v>
      </c>
      <c r="J356" s="903">
        <v>0.51300000000000001</v>
      </c>
      <c r="K356" s="903">
        <v>0.51300000000000001</v>
      </c>
      <c r="L356" s="903">
        <v>0.51300000000000001</v>
      </c>
      <c r="M356" s="903">
        <v>0.51300000000000001</v>
      </c>
    </row>
    <row r="357" spans="1:13">
      <c r="A357" s="911">
        <v>4.9000000000000004</v>
      </c>
      <c r="B357" s="903">
        <v>0.68179999999999996</v>
      </c>
      <c r="C357" s="903">
        <v>0.68179999999999996</v>
      </c>
      <c r="D357" s="903">
        <v>0.65659999999999996</v>
      </c>
      <c r="E357" s="903">
        <v>0.65659999999999996</v>
      </c>
      <c r="F357" s="903">
        <v>0.65659999999999996</v>
      </c>
      <c r="G357" s="903">
        <v>0.58599999999999997</v>
      </c>
      <c r="H357" s="903">
        <v>0.58599999999999997</v>
      </c>
      <c r="I357" s="903">
        <v>0.51060000000000005</v>
      </c>
      <c r="J357" s="903">
        <v>0.51060000000000005</v>
      </c>
      <c r="K357" s="903">
        <v>0.51060000000000005</v>
      </c>
      <c r="L357" s="903">
        <v>0.51060000000000005</v>
      </c>
      <c r="M357" s="903">
        <v>0.51060000000000005</v>
      </c>
    </row>
    <row r="358" spans="1:13">
      <c r="A358" s="911">
        <v>5</v>
      </c>
      <c r="B358" s="903">
        <v>0.68030000000000002</v>
      </c>
      <c r="C358" s="903">
        <v>0.68030000000000002</v>
      </c>
      <c r="D358" s="903">
        <v>0.65439999999999998</v>
      </c>
      <c r="E358" s="903">
        <v>0.65439999999999998</v>
      </c>
      <c r="F358" s="903">
        <v>0.65439999999999998</v>
      </c>
      <c r="G358" s="903">
        <v>0.58379999999999999</v>
      </c>
      <c r="H358" s="903">
        <v>0.58379999999999999</v>
      </c>
      <c r="I358" s="903">
        <v>0.50839999999999996</v>
      </c>
      <c r="J358" s="903">
        <v>0.50839999999999996</v>
      </c>
      <c r="K358" s="903">
        <v>0.50839999999999996</v>
      </c>
      <c r="L358" s="903">
        <v>0.50839999999999996</v>
      </c>
      <c r="M358" s="903">
        <v>0.50839999999999996</v>
      </c>
    </row>
    <row r="359" spans="1:13">
      <c r="A359" s="896">
        <v>5.0999999999999996</v>
      </c>
      <c r="B359" s="903">
        <v>0.67889999999999995</v>
      </c>
      <c r="C359" s="903">
        <v>0.67889999999999995</v>
      </c>
      <c r="D359" s="903">
        <v>0.65229999999999999</v>
      </c>
      <c r="E359" s="903">
        <v>0.65229999999999999</v>
      </c>
      <c r="F359" s="903">
        <v>0.65229999999999999</v>
      </c>
      <c r="G359" s="903">
        <v>0.58160000000000001</v>
      </c>
      <c r="H359" s="903">
        <v>0.58160000000000001</v>
      </c>
      <c r="I359" s="903">
        <v>0.50629999999999997</v>
      </c>
      <c r="J359" s="903">
        <v>0.50629999999999997</v>
      </c>
      <c r="K359" s="903">
        <v>0.50629999999999997</v>
      </c>
      <c r="L359" s="903">
        <v>0.50629999999999997</v>
      </c>
      <c r="M359" s="903">
        <v>0.50629999999999997</v>
      </c>
    </row>
    <row r="360" spans="1:13">
      <c r="A360" s="896">
        <v>5.2</v>
      </c>
      <c r="B360" s="903">
        <v>0.67749999999999999</v>
      </c>
      <c r="C360" s="903">
        <v>0.67749999999999999</v>
      </c>
      <c r="D360" s="903">
        <v>0.65029999999999999</v>
      </c>
      <c r="E360" s="903">
        <v>0.65029999999999999</v>
      </c>
      <c r="F360" s="903">
        <v>0.65029999999999999</v>
      </c>
      <c r="G360" s="903">
        <v>0.57950000000000002</v>
      </c>
      <c r="H360" s="903">
        <v>0.57950000000000002</v>
      </c>
      <c r="I360" s="903">
        <v>0.50419999999999998</v>
      </c>
      <c r="J360" s="903">
        <v>0.50419999999999998</v>
      </c>
      <c r="K360" s="903">
        <v>0.50419999999999998</v>
      </c>
      <c r="L360" s="903">
        <v>0.50419999999999998</v>
      </c>
      <c r="M360" s="903">
        <v>0.50419999999999998</v>
      </c>
    </row>
    <row r="361" spans="1:13">
      <c r="A361" s="896">
        <v>5.3</v>
      </c>
      <c r="B361" s="903">
        <v>0.67620000000000002</v>
      </c>
      <c r="C361" s="903">
        <v>0.67620000000000002</v>
      </c>
      <c r="D361" s="903">
        <v>0.64839999999999998</v>
      </c>
      <c r="E361" s="903">
        <v>0.64839999999999998</v>
      </c>
      <c r="F361" s="903">
        <v>0.64839999999999998</v>
      </c>
      <c r="G361" s="903">
        <v>0.5776</v>
      </c>
      <c r="H361" s="903">
        <v>0.5776</v>
      </c>
      <c r="I361" s="903">
        <v>0.50229999999999997</v>
      </c>
      <c r="J361" s="903">
        <v>0.50229999999999997</v>
      </c>
      <c r="K361" s="903">
        <v>0.50229999999999997</v>
      </c>
      <c r="L361" s="903">
        <v>0.50229999999999997</v>
      </c>
      <c r="M361" s="903">
        <v>0.50229999999999997</v>
      </c>
    </row>
    <row r="362" spans="1:13">
      <c r="A362" s="896">
        <v>5.4</v>
      </c>
      <c r="B362" s="903">
        <v>0.67500000000000004</v>
      </c>
      <c r="C362" s="903">
        <v>0.67500000000000004</v>
      </c>
      <c r="D362" s="903">
        <v>0.64670000000000005</v>
      </c>
      <c r="E362" s="903">
        <v>0.64670000000000005</v>
      </c>
      <c r="F362" s="903">
        <v>0.64670000000000005</v>
      </c>
      <c r="G362" s="903">
        <v>0.57579999999999998</v>
      </c>
      <c r="H362" s="903">
        <v>0.57579999999999998</v>
      </c>
      <c r="I362" s="903">
        <v>0.50039999999999996</v>
      </c>
      <c r="J362" s="903">
        <v>0.50039999999999996</v>
      </c>
      <c r="K362" s="903">
        <v>0.50039999999999996</v>
      </c>
      <c r="L362" s="903">
        <v>0.50039999999999996</v>
      </c>
      <c r="M362" s="903">
        <v>0.50039999999999996</v>
      </c>
    </row>
    <row r="363" spans="1:13">
      <c r="A363" s="896">
        <v>5.5</v>
      </c>
      <c r="B363" s="903">
        <v>0.67379999999999995</v>
      </c>
      <c r="C363" s="903">
        <v>0.67379999999999995</v>
      </c>
      <c r="D363" s="903">
        <v>0.64500000000000002</v>
      </c>
      <c r="E363" s="903">
        <v>0.64500000000000002</v>
      </c>
      <c r="F363" s="903">
        <v>0.64500000000000002</v>
      </c>
      <c r="G363" s="903">
        <v>0.57399999999999995</v>
      </c>
      <c r="H363" s="903">
        <v>0.57399999999999995</v>
      </c>
      <c r="I363" s="903">
        <v>0.49869999999999998</v>
      </c>
      <c r="J363" s="903">
        <v>0.49869999999999998</v>
      </c>
      <c r="K363" s="903">
        <v>0.49869999999999998</v>
      </c>
      <c r="L363" s="903">
        <v>0.49869999999999998</v>
      </c>
      <c r="M363" s="903">
        <v>0.49869999999999998</v>
      </c>
    </row>
    <row r="364" spans="1:13">
      <c r="A364" s="896">
        <v>5.6</v>
      </c>
      <c r="B364" s="903">
        <v>0.67259999999999998</v>
      </c>
      <c r="C364" s="903">
        <v>0.67259999999999998</v>
      </c>
      <c r="D364" s="903">
        <v>0.64339999999999997</v>
      </c>
      <c r="E364" s="903">
        <v>0.64339999999999997</v>
      </c>
      <c r="F364" s="903">
        <v>0.64339999999999997</v>
      </c>
      <c r="G364" s="903">
        <v>0.57240000000000002</v>
      </c>
      <c r="H364" s="903">
        <v>0.57240000000000002</v>
      </c>
      <c r="I364" s="903">
        <v>0.49690000000000001</v>
      </c>
      <c r="J364" s="903">
        <v>0.49690000000000001</v>
      </c>
      <c r="K364" s="903">
        <v>0.49690000000000001</v>
      </c>
      <c r="L364" s="903">
        <v>0.49690000000000001</v>
      </c>
      <c r="M364" s="903">
        <v>0.49690000000000001</v>
      </c>
    </row>
    <row r="365" spans="1:13">
      <c r="A365" s="911">
        <v>5.7</v>
      </c>
      <c r="B365" s="903">
        <v>0.6714</v>
      </c>
      <c r="C365" s="903">
        <v>0.6714</v>
      </c>
      <c r="D365" s="903">
        <v>0.64190000000000003</v>
      </c>
      <c r="E365" s="903">
        <v>0.64190000000000003</v>
      </c>
      <c r="F365" s="903">
        <v>0.64190000000000003</v>
      </c>
      <c r="G365" s="903">
        <v>0.57069999999999999</v>
      </c>
      <c r="H365" s="903">
        <v>0.57069999999999999</v>
      </c>
      <c r="I365" s="903">
        <v>0.49519999999999997</v>
      </c>
      <c r="J365" s="903">
        <v>0.49519999999999997</v>
      </c>
      <c r="K365" s="903">
        <v>0.49519999999999997</v>
      </c>
      <c r="L365" s="903">
        <v>0.49519999999999997</v>
      </c>
      <c r="M365" s="903">
        <v>0.49519999999999997</v>
      </c>
    </row>
    <row r="366" spans="1:13">
      <c r="A366" s="896">
        <v>5.8</v>
      </c>
      <c r="B366" s="903">
        <v>0.67020000000000002</v>
      </c>
      <c r="C366" s="903">
        <v>0.67020000000000002</v>
      </c>
      <c r="D366" s="903">
        <v>0.64039999999999997</v>
      </c>
      <c r="E366" s="903">
        <v>0.64039999999999997</v>
      </c>
      <c r="F366" s="903">
        <v>0.64039999999999997</v>
      </c>
      <c r="G366" s="903">
        <v>0.56910000000000005</v>
      </c>
      <c r="H366" s="903">
        <v>0.56910000000000005</v>
      </c>
      <c r="I366" s="903">
        <v>0.49359999999999998</v>
      </c>
      <c r="J366" s="903">
        <v>0.49359999999999998</v>
      </c>
      <c r="K366" s="903">
        <v>0.49359999999999998</v>
      </c>
      <c r="L366" s="903">
        <v>0.49359999999999998</v>
      </c>
      <c r="M366" s="903">
        <v>0.49359999999999998</v>
      </c>
    </row>
    <row r="367" spans="1:13">
      <c r="A367" s="896">
        <v>5.9</v>
      </c>
      <c r="B367" s="903">
        <v>0.66910000000000003</v>
      </c>
      <c r="C367" s="903">
        <v>0.66910000000000003</v>
      </c>
      <c r="D367" s="903">
        <v>0.63890000000000002</v>
      </c>
      <c r="E367" s="903">
        <v>0.63890000000000002</v>
      </c>
      <c r="F367" s="903">
        <v>0.63890000000000002</v>
      </c>
      <c r="G367" s="903">
        <v>0.5675</v>
      </c>
      <c r="H367" s="903">
        <v>0.5675</v>
      </c>
      <c r="I367" s="903">
        <v>0.4919</v>
      </c>
      <c r="J367" s="903">
        <v>0.4919</v>
      </c>
      <c r="K367" s="903">
        <v>0.4919</v>
      </c>
      <c r="L367" s="903">
        <v>0.4919</v>
      </c>
      <c r="M367" s="903">
        <v>0.4919</v>
      </c>
    </row>
    <row r="368" spans="1:13">
      <c r="A368" s="896">
        <v>6</v>
      </c>
      <c r="B368" s="903">
        <v>0.66800000000000004</v>
      </c>
      <c r="C368" s="903">
        <v>0.66800000000000004</v>
      </c>
      <c r="D368" s="903">
        <v>0.63739999999999997</v>
      </c>
      <c r="E368" s="903">
        <v>0.63739999999999997</v>
      </c>
      <c r="F368" s="903">
        <v>0.63739999999999997</v>
      </c>
      <c r="G368" s="903">
        <v>0.56589999999999996</v>
      </c>
      <c r="H368" s="903">
        <v>0.56589999999999996</v>
      </c>
      <c r="I368" s="903">
        <v>0.49020000000000002</v>
      </c>
      <c r="J368" s="903">
        <v>0.49020000000000002</v>
      </c>
      <c r="K368" s="903">
        <v>0.49020000000000002</v>
      </c>
      <c r="L368" s="903">
        <v>0.49020000000000002</v>
      </c>
      <c r="M368" s="903">
        <v>0.49020000000000002</v>
      </c>
    </row>
    <row r="369" spans="1:13">
      <c r="A369" s="896">
        <v>6.1</v>
      </c>
      <c r="B369" s="903">
        <v>0.66690000000000005</v>
      </c>
      <c r="C369" s="903">
        <v>0.66690000000000005</v>
      </c>
      <c r="D369" s="903">
        <v>0.63590000000000002</v>
      </c>
      <c r="E369" s="903">
        <v>0.63590000000000002</v>
      </c>
      <c r="F369" s="903">
        <v>0.63590000000000002</v>
      </c>
      <c r="G369" s="903">
        <v>0.56440000000000001</v>
      </c>
      <c r="H369" s="903">
        <v>0.56440000000000001</v>
      </c>
      <c r="I369" s="903">
        <v>0.48849999999999999</v>
      </c>
      <c r="J369" s="903">
        <v>0.48849999999999999</v>
      </c>
      <c r="K369" s="903">
        <v>0.48849999999999999</v>
      </c>
      <c r="L369" s="903">
        <v>0.48849999999999999</v>
      </c>
      <c r="M369" s="903">
        <v>0.48849999999999999</v>
      </c>
    </row>
    <row r="370" spans="1:13">
      <c r="A370" s="896">
        <v>6.2</v>
      </c>
      <c r="B370" s="903">
        <v>0.66579999999999995</v>
      </c>
      <c r="C370" s="903">
        <v>0.66579999999999995</v>
      </c>
      <c r="D370" s="903">
        <v>0.63439999999999996</v>
      </c>
      <c r="E370" s="903">
        <v>0.63439999999999996</v>
      </c>
      <c r="F370" s="903">
        <v>0.63439999999999996</v>
      </c>
      <c r="G370" s="903">
        <v>0.56289999999999996</v>
      </c>
      <c r="H370" s="903">
        <v>0.56289999999999996</v>
      </c>
      <c r="I370" s="903">
        <v>0.48680000000000001</v>
      </c>
      <c r="J370" s="903">
        <v>0.48680000000000001</v>
      </c>
      <c r="K370" s="903">
        <v>0.48680000000000001</v>
      </c>
      <c r="L370" s="903">
        <v>0.48680000000000001</v>
      </c>
      <c r="M370" s="903">
        <v>0.48680000000000001</v>
      </c>
    </row>
    <row r="371" spans="1:13">
      <c r="A371" s="896">
        <v>6.3</v>
      </c>
      <c r="B371" s="903">
        <v>0.66469999999999996</v>
      </c>
      <c r="C371" s="903">
        <v>0.66469999999999996</v>
      </c>
      <c r="D371" s="903">
        <v>0.63290000000000002</v>
      </c>
      <c r="E371" s="903">
        <v>0.63290000000000002</v>
      </c>
      <c r="F371" s="903">
        <v>0.63290000000000002</v>
      </c>
      <c r="G371" s="903">
        <v>0.56130000000000002</v>
      </c>
      <c r="H371" s="903">
        <v>0.56130000000000002</v>
      </c>
      <c r="I371" s="903">
        <v>0.48509999999999998</v>
      </c>
      <c r="J371" s="903">
        <v>0.48509999999999998</v>
      </c>
      <c r="K371" s="903">
        <v>0.48509999999999998</v>
      </c>
      <c r="L371" s="903">
        <v>0.48509999999999998</v>
      </c>
      <c r="M371" s="903">
        <v>0.48509999999999998</v>
      </c>
    </row>
    <row r="372" spans="1:13">
      <c r="A372" s="896">
        <v>6.4</v>
      </c>
      <c r="B372" s="903">
        <v>0.66359999999999997</v>
      </c>
      <c r="C372" s="903">
        <v>0.66359999999999997</v>
      </c>
      <c r="D372" s="903">
        <v>0.63139999999999996</v>
      </c>
      <c r="E372" s="903">
        <v>0.63139999999999996</v>
      </c>
      <c r="F372" s="903">
        <v>0.63139999999999996</v>
      </c>
      <c r="G372" s="903">
        <v>0.55979999999999996</v>
      </c>
      <c r="H372" s="903">
        <v>0.55979999999999996</v>
      </c>
      <c r="I372" s="903">
        <v>0.48349999999999999</v>
      </c>
      <c r="J372" s="903">
        <v>0.48349999999999999</v>
      </c>
      <c r="K372" s="903">
        <v>0.48349999999999999</v>
      </c>
      <c r="L372" s="903">
        <v>0.48349999999999999</v>
      </c>
      <c r="M372" s="903">
        <v>0.48349999999999999</v>
      </c>
    </row>
    <row r="373" spans="1:13">
      <c r="A373" s="896">
        <v>6.5</v>
      </c>
      <c r="B373" s="903">
        <v>0.66249999999999998</v>
      </c>
      <c r="C373" s="903">
        <v>0.66249999999999998</v>
      </c>
      <c r="D373" s="903">
        <v>0.63</v>
      </c>
      <c r="E373" s="903">
        <v>0.63</v>
      </c>
      <c r="F373" s="903">
        <v>0.63</v>
      </c>
      <c r="G373" s="903">
        <v>0.55820000000000003</v>
      </c>
      <c r="H373" s="903">
        <v>0.55820000000000003</v>
      </c>
      <c r="I373" s="903">
        <v>0.4819</v>
      </c>
      <c r="J373" s="903">
        <v>0.4819</v>
      </c>
      <c r="K373" s="903">
        <v>0.4819</v>
      </c>
      <c r="L373" s="903">
        <v>0.4819</v>
      </c>
      <c r="M373" s="903">
        <v>0.4819</v>
      </c>
    </row>
    <row r="374" spans="1:13">
      <c r="A374" s="896">
        <v>6.6</v>
      </c>
      <c r="B374" s="903">
        <v>0.66149999999999998</v>
      </c>
      <c r="C374" s="903">
        <v>0.66149999999999998</v>
      </c>
      <c r="D374" s="903">
        <v>0.62860000000000005</v>
      </c>
      <c r="E374" s="903">
        <v>0.62860000000000005</v>
      </c>
      <c r="F374" s="903">
        <v>0.62860000000000005</v>
      </c>
      <c r="G374" s="903">
        <v>0.55669999999999997</v>
      </c>
      <c r="H374" s="903">
        <v>0.55669999999999997</v>
      </c>
      <c r="I374" s="903">
        <v>0.4803</v>
      </c>
      <c r="J374" s="903">
        <v>0.4803</v>
      </c>
      <c r="K374" s="903">
        <v>0.4803</v>
      </c>
      <c r="L374" s="903">
        <v>0.4803</v>
      </c>
      <c r="M374" s="903">
        <v>0.4803</v>
      </c>
    </row>
    <row r="375" spans="1:13">
      <c r="A375" s="896">
        <v>6.7</v>
      </c>
      <c r="B375" s="903">
        <v>0.66049999999999998</v>
      </c>
      <c r="C375" s="903">
        <v>0.66049999999999998</v>
      </c>
      <c r="D375" s="903">
        <v>0.62719999999999998</v>
      </c>
      <c r="E375" s="903">
        <v>0.62719999999999998</v>
      </c>
      <c r="F375" s="903">
        <v>0.62719999999999998</v>
      </c>
      <c r="G375" s="903">
        <v>0.55520000000000003</v>
      </c>
      <c r="H375" s="903">
        <v>0.55520000000000003</v>
      </c>
      <c r="I375" s="903">
        <v>0.47870000000000001</v>
      </c>
      <c r="J375" s="903">
        <v>0.47870000000000001</v>
      </c>
      <c r="K375" s="903">
        <v>0.47870000000000001</v>
      </c>
      <c r="L375" s="903">
        <v>0.47870000000000001</v>
      </c>
      <c r="M375" s="903">
        <v>0.47870000000000001</v>
      </c>
    </row>
    <row r="376" spans="1:13">
      <c r="A376" s="896">
        <v>6.8</v>
      </c>
      <c r="B376" s="903">
        <v>0.65949999999999998</v>
      </c>
      <c r="C376" s="903">
        <v>0.65949999999999998</v>
      </c>
      <c r="D376" s="903">
        <v>0.62580000000000002</v>
      </c>
      <c r="E376" s="903">
        <v>0.62580000000000002</v>
      </c>
      <c r="F376" s="903">
        <v>0.62580000000000002</v>
      </c>
      <c r="G376" s="903">
        <v>0.55359999999999998</v>
      </c>
      <c r="H376" s="903">
        <v>0.55359999999999998</v>
      </c>
      <c r="I376" s="903">
        <v>0.47710000000000002</v>
      </c>
      <c r="J376" s="903">
        <v>0.47710000000000002</v>
      </c>
      <c r="K376" s="903">
        <v>0.47710000000000002</v>
      </c>
      <c r="L376" s="903">
        <v>0.47710000000000002</v>
      </c>
      <c r="M376" s="903">
        <v>0.47710000000000002</v>
      </c>
    </row>
    <row r="377" spans="1:13">
      <c r="A377" s="896">
        <v>6.9</v>
      </c>
      <c r="B377" s="903">
        <v>0.65849999999999997</v>
      </c>
      <c r="C377" s="903">
        <v>0.65849999999999997</v>
      </c>
      <c r="D377" s="903">
        <v>0.62439999999999996</v>
      </c>
      <c r="E377" s="903">
        <v>0.62439999999999996</v>
      </c>
      <c r="F377" s="903">
        <v>0.62439999999999996</v>
      </c>
      <c r="G377" s="903">
        <v>0.55220000000000002</v>
      </c>
      <c r="H377" s="903">
        <v>0.55220000000000002</v>
      </c>
      <c r="I377" s="903">
        <v>0.47549999999999998</v>
      </c>
      <c r="J377" s="903">
        <v>0.47549999999999998</v>
      </c>
      <c r="K377" s="903">
        <v>0.47549999999999998</v>
      </c>
      <c r="L377" s="903">
        <v>0.47549999999999998</v>
      </c>
      <c r="M377" s="903">
        <v>0.47549999999999998</v>
      </c>
    </row>
    <row r="378" spans="1:13">
      <c r="A378" s="896">
        <v>7</v>
      </c>
      <c r="B378" s="903">
        <v>0.65749999999999997</v>
      </c>
      <c r="C378" s="903">
        <v>0.65749999999999997</v>
      </c>
      <c r="D378" s="903">
        <v>0.623</v>
      </c>
      <c r="E378" s="903">
        <v>0.623</v>
      </c>
      <c r="F378" s="903">
        <v>0.623</v>
      </c>
      <c r="G378" s="903">
        <v>0.55069999999999997</v>
      </c>
      <c r="H378" s="903">
        <v>0.55069999999999997</v>
      </c>
      <c r="I378" s="903">
        <v>0.47389999999999999</v>
      </c>
      <c r="J378" s="903">
        <v>0.47389999999999999</v>
      </c>
      <c r="K378" s="903">
        <v>0.47389999999999999</v>
      </c>
      <c r="L378" s="903">
        <v>0.47389999999999999</v>
      </c>
      <c r="M378" s="903">
        <v>0.47389999999999999</v>
      </c>
    </row>
    <row r="379" spans="1:13">
      <c r="A379" s="896">
        <v>7.1</v>
      </c>
      <c r="B379" s="903">
        <v>0.65649999999999997</v>
      </c>
      <c r="C379" s="903">
        <v>0.65649999999999997</v>
      </c>
      <c r="D379" s="903">
        <v>0.62160000000000004</v>
      </c>
      <c r="E379" s="903">
        <v>0.62160000000000004</v>
      </c>
      <c r="F379" s="903">
        <v>0.62160000000000004</v>
      </c>
      <c r="G379" s="903">
        <v>0.54930000000000001</v>
      </c>
      <c r="H379" s="903">
        <v>0.54930000000000001</v>
      </c>
      <c r="I379" s="903">
        <v>0.47239999999999999</v>
      </c>
      <c r="J379" s="903">
        <v>0.47239999999999999</v>
      </c>
      <c r="K379" s="903">
        <v>0.47239999999999999</v>
      </c>
      <c r="L379" s="903">
        <v>0.47239999999999999</v>
      </c>
      <c r="M379" s="903">
        <v>0.47239999999999999</v>
      </c>
    </row>
    <row r="380" spans="1:13">
      <c r="A380" s="896">
        <v>7.2</v>
      </c>
      <c r="B380" s="903">
        <v>0.65549999999999997</v>
      </c>
      <c r="C380" s="903">
        <v>0.65549999999999997</v>
      </c>
      <c r="D380" s="903">
        <v>0.62019999999999997</v>
      </c>
      <c r="E380" s="903">
        <v>0.62019999999999997</v>
      </c>
      <c r="F380" s="903">
        <v>0.62019999999999997</v>
      </c>
      <c r="G380" s="903">
        <v>0.54779999999999995</v>
      </c>
      <c r="H380" s="903">
        <v>0.54779999999999995</v>
      </c>
      <c r="I380" s="903">
        <v>0.47089999999999999</v>
      </c>
      <c r="J380" s="903">
        <v>0.47089999999999999</v>
      </c>
      <c r="K380" s="903">
        <v>0.47089999999999999</v>
      </c>
      <c r="L380" s="903">
        <v>0.47089999999999999</v>
      </c>
      <c r="M380" s="903">
        <v>0.47089999999999999</v>
      </c>
    </row>
    <row r="381" spans="1:13">
      <c r="A381" s="896">
        <v>7.3</v>
      </c>
      <c r="B381" s="903">
        <v>0.65449999999999997</v>
      </c>
      <c r="C381" s="903">
        <v>0.65449999999999997</v>
      </c>
      <c r="D381" s="903">
        <v>0.61880000000000002</v>
      </c>
      <c r="E381" s="903">
        <v>0.61880000000000002</v>
      </c>
      <c r="F381" s="903">
        <v>0.61880000000000002</v>
      </c>
      <c r="G381" s="903">
        <v>0.5464</v>
      </c>
      <c r="H381" s="903">
        <v>0.5464</v>
      </c>
      <c r="I381" s="903">
        <v>0.46939999999999998</v>
      </c>
      <c r="J381" s="903">
        <v>0.46939999999999998</v>
      </c>
      <c r="K381" s="903">
        <v>0.46939999999999998</v>
      </c>
      <c r="L381" s="903">
        <v>0.46939999999999998</v>
      </c>
      <c r="M381" s="903">
        <v>0.46939999999999998</v>
      </c>
    </row>
    <row r="382" spans="1:13">
      <c r="A382" s="896">
        <v>7.4</v>
      </c>
      <c r="B382" s="903">
        <v>0.65349999999999997</v>
      </c>
      <c r="C382" s="903">
        <v>0.65349999999999997</v>
      </c>
      <c r="D382" s="903">
        <v>0.61750000000000005</v>
      </c>
      <c r="E382" s="903">
        <v>0.61750000000000005</v>
      </c>
      <c r="F382" s="903">
        <v>0.61750000000000005</v>
      </c>
      <c r="G382" s="903">
        <v>0.54490000000000005</v>
      </c>
      <c r="H382" s="903">
        <v>0.54490000000000005</v>
      </c>
      <c r="I382" s="903">
        <v>0.46779999999999999</v>
      </c>
      <c r="J382" s="903">
        <v>0.46779999999999999</v>
      </c>
      <c r="K382" s="903">
        <v>0.46779999999999999</v>
      </c>
      <c r="L382" s="903">
        <v>0.46779999999999999</v>
      </c>
      <c r="M382" s="903">
        <v>0.46779999999999999</v>
      </c>
    </row>
    <row r="383" spans="1:13">
      <c r="A383" s="896">
        <v>7.5</v>
      </c>
      <c r="B383" s="903">
        <v>0.65249999999999997</v>
      </c>
      <c r="C383" s="903">
        <v>0.65249999999999997</v>
      </c>
      <c r="D383" s="903">
        <v>0.61619999999999997</v>
      </c>
      <c r="E383" s="903">
        <v>0.61619999999999997</v>
      </c>
      <c r="F383" s="903">
        <v>0.61619999999999997</v>
      </c>
      <c r="G383" s="903">
        <v>0.54349999999999998</v>
      </c>
      <c r="H383" s="903">
        <v>0.54349999999999998</v>
      </c>
      <c r="I383" s="903">
        <v>0.46629999999999999</v>
      </c>
      <c r="J383" s="903">
        <v>0.46629999999999999</v>
      </c>
      <c r="K383" s="903">
        <v>0.46629999999999999</v>
      </c>
      <c r="L383" s="903">
        <v>0.46629999999999999</v>
      </c>
      <c r="M383" s="903">
        <v>0.46629999999999999</v>
      </c>
    </row>
    <row r="384" spans="1:13">
      <c r="A384" s="896">
        <v>7.6</v>
      </c>
      <c r="B384" s="903">
        <v>0.65149999999999997</v>
      </c>
      <c r="C384" s="903">
        <v>0.65149999999999997</v>
      </c>
      <c r="D384" s="903">
        <v>0.6149</v>
      </c>
      <c r="E384" s="903">
        <v>0.6149</v>
      </c>
      <c r="F384" s="903">
        <v>0.6149</v>
      </c>
      <c r="G384" s="903">
        <v>0.54200000000000004</v>
      </c>
      <c r="H384" s="903">
        <v>0.54200000000000004</v>
      </c>
      <c r="I384" s="903">
        <v>0.46479999999999999</v>
      </c>
      <c r="J384" s="903">
        <v>0.46479999999999999</v>
      </c>
      <c r="K384" s="903">
        <v>0.46479999999999999</v>
      </c>
      <c r="L384" s="903">
        <v>0.46479999999999999</v>
      </c>
      <c r="M384" s="903">
        <v>0.46479999999999999</v>
      </c>
    </row>
    <row r="385" spans="1:13">
      <c r="A385" s="896">
        <v>7.7</v>
      </c>
      <c r="B385" s="903">
        <v>0.65049999999999997</v>
      </c>
      <c r="C385" s="903">
        <v>0.65049999999999997</v>
      </c>
      <c r="D385" s="903">
        <v>0.61360000000000003</v>
      </c>
      <c r="E385" s="903">
        <v>0.61360000000000003</v>
      </c>
      <c r="F385" s="903">
        <v>0.61360000000000003</v>
      </c>
      <c r="G385" s="903">
        <v>0.54059999999999997</v>
      </c>
      <c r="H385" s="903">
        <v>0.54059999999999997</v>
      </c>
      <c r="I385" s="903">
        <v>0.46329999999999999</v>
      </c>
      <c r="J385" s="903">
        <v>0.46329999999999999</v>
      </c>
      <c r="K385" s="903">
        <v>0.46329999999999999</v>
      </c>
      <c r="L385" s="903">
        <v>0.46329999999999999</v>
      </c>
      <c r="M385" s="903">
        <v>0.46329999999999999</v>
      </c>
    </row>
    <row r="386" spans="1:13">
      <c r="A386" s="896">
        <v>7.8</v>
      </c>
      <c r="B386" s="903">
        <v>0.64949999999999997</v>
      </c>
      <c r="C386" s="903">
        <v>0.64949999999999997</v>
      </c>
      <c r="D386" s="903">
        <v>0.61229999999999996</v>
      </c>
      <c r="E386" s="903">
        <v>0.61229999999999996</v>
      </c>
      <c r="F386" s="903">
        <v>0.61229999999999996</v>
      </c>
      <c r="G386" s="903">
        <v>0.53910000000000002</v>
      </c>
      <c r="H386" s="903">
        <v>0.53910000000000002</v>
      </c>
      <c r="I386" s="903">
        <v>0.4617</v>
      </c>
      <c r="J386" s="903">
        <v>0.4617</v>
      </c>
      <c r="K386" s="903">
        <v>0.4617</v>
      </c>
      <c r="L386" s="903">
        <v>0.4617</v>
      </c>
      <c r="M386" s="903">
        <v>0.4617</v>
      </c>
    </row>
    <row r="387" spans="1:13">
      <c r="A387" s="896">
        <v>7.9</v>
      </c>
      <c r="B387" s="903">
        <v>0.64849999999999997</v>
      </c>
      <c r="C387" s="903">
        <v>0.64849999999999997</v>
      </c>
      <c r="D387" s="903">
        <v>0.61099999999999999</v>
      </c>
      <c r="E387" s="903">
        <v>0.61099999999999999</v>
      </c>
      <c r="F387" s="903">
        <v>0.61099999999999999</v>
      </c>
      <c r="G387" s="903">
        <v>0.53769999999999996</v>
      </c>
      <c r="H387" s="903">
        <v>0.53769999999999996</v>
      </c>
      <c r="I387" s="903">
        <v>0.4602</v>
      </c>
      <c r="J387" s="903">
        <v>0.4602</v>
      </c>
      <c r="K387" s="903">
        <v>0.4602</v>
      </c>
      <c r="L387" s="903">
        <v>0.4602</v>
      </c>
      <c r="M387" s="903">
        <v>0.4602</v>
      </c>
    </row>
    <row r="388" spans="1:13">
      <c r="A388" s="896">
        <v>8</v>
      </c>
      <c r="B388" s="903">
        <v>0.64749999999999996</v>
      </c>
      <c r="C388" s="903">
        <v>0.64749999999999996</v>
      </c>
      <c r="D388" s="903">
        <v>0.60970000000000002</v>
      </c>
      <c r="E388" s="903">
        <v>0.60970000000000002</v>
      </c>
      <c r="F388" s="903">
        <v>0.60970000000000002</v>
      </c>
      <c r="G388" s="903">
        <v>0.53620000000000001</v>
      </c>
      <c r="H388" s="903">
        <v>0.53620000000000001</v>
      </c>
      <c r="I388" s="903">
        <v>0.4587</v>
      </c>
      <c r="J388" s="903">
        <v>0.4587</v>
      </c>
      <c r="K388" s="903">
        <v>0.4587</v>
      </c>
      <c r="L388" s="903">
        <v>0.4587</v>
      </c>
      <c r="M388" s="903">
        <v>0.4587</v>
      </c>
    </row>
    <row r="389" spans="1:13">
      <c r="A389" s="896">
        <v>8.1</v>
      </c>
      <c r="B389" s="903">
        <v>0.64649999999999996</v>
      </c>
      <c r="C389" s="903">
        <v>0.64649999999999996</v>
      </c>
      <c r="D389" s="903">
        <v>0.60840000000000005</v>
      </c>
      <c r="E389" s="903">
        <v>0.60840000000000005</v>
      </c>
      <c r="F389" s="903">
        <v>0.60840000000000005</v>
      </c>
      <c r="G389" s="903">
        <v>0.53480000000000005</v>
      </c>
      <c r="H389" s="903">
        <v>0.53480000000000005</v>
      </c>
      <c r="I389" s="903">
        <v>0.4572</v>
      </c>
      <c r="J389" s="903">
        <v>0.4572</v>
      </c>
      <c r="K389" s="903">
        <v>0.4572</v>
      </c>
      <c r="L389" s="903">
        <v>0.4572</v>
      </c>
      <c r="M389" s="903">
        <v>0.4572</v>
      </c>
    </row>
    <row r="390" spans="1:13">
      <c r="A390" s="896">
        <v>8.1999999999999993</v>
      </c>
      <c r="B390" s="903">
        <v>0.64549999999999996</v>
      </c>
      <c r="C390" s="903">
        <v>0.64549999999999996</v>
      </c>
      <c r="D390" s="903">
        <v>0.60709999999999997</v>
      </c>
      <c r="E390" s="903">
        <v>0.60709999999999997</v>
      </c>
      <c r="F390" s="903">
        <v>0.60709999999999997</v>
      </c>
      <c r="G390" s="903">
        <v>0.5333</v>
      </c>
      <c r="H390" s="903">
        <v>0.5333</v>
      </c>
      <c r="I390" s="903">
        <v>0.45569999999999999</v>
      </c>
      <c r="J390" s="903">
        <v>0.45569999999999999</v>
      </c>
      <c r="K390" s="903">
        <v>0.45569999999999999</v>
      </c>
      <c r="L390" s="903">
        <v>0.45569999999999999</v>
      </c>
      <c r="M390" s="903">
        <v>0.45569999999999999</v>
      </c>
    </row>
    <row r="391" spans="1:13">
      <c r="A391" s="896">
        <v>8.3000000000000007</v>
      </c>
      <c r="B391" s="903">
        <v>0.64449999999999996</v>
      </c>
      <c r="C391" s="903">
        <v>0.64449999999999996</v>
      </c>
      <c r="D391" s="903">
        <v>0.60580000000000001</v>
      </c>
      <c r="E391" s="903">
        <v>0.60580000000000001</v>
      </c>
      <c r="F391" s="903">
        <v>0.60580000000000001</v>
      </c>
      <c r="G391" s="903">
        <v>0.53190000000000004</v>
      </c>
      <c r="H391" s="903">
        <v>0.53190000000000004</v>
      </c>
      <c r="I391" s="903">
        <v>0.45429999999999998</v>
      </c>
      <c r="J391" s="903">
        <v>0.45429999999999998</v>
      </c>
      <c r="K391" s="903">
        <v>0.45429999999999998</v>
      </c>
      <c r="L391" s="903">
        <v>0.45429999999999998</v>
      </c>
      <c r="M391" s="903">
        <v>0.45429999999999998</v>
      </c>
    </row>
    <row r="392" spans="1:13">
      <c r="A392" s="896">
        <v>8.4</v>
      </c>
      <c r="B392" s="903">
        <v>0.64349999999999996</v>
      </c>
      <c r="C392" s="903">
        <v>0.64349999999999996</v>
      </c>
      <c r="D392" s="903">
        <v>0.60450000000000004</v>
      </c>
      <c r="E392" s="903">
        <v>0.60450000000000004</v>
      </c>
      <c r="F392" s="903">
        <v>0.60450000000000004</v>
      </c>
      <c r="G392" s="903">
        <v>0.53039999999999998</v>
      </c>
      <c r="H392" s="903">
        <v>0.53039999999999998</v>
      </c>
      <c r="I392" s="903">
        <v>0.45290000000000002</v>
      </c>
      <c r="J392" s="903">
        <v>0.45290000000000002</v>
      </c>
      <c r="K392" s="903">
        <v>0.45290000000000002</v>
      </c>
      <c r="L392" s="903">
        <v>0.45290000000000002</v>
      </c>
      <c r="M392" s="903">
        <v>0.45290000000000002</v>
      </c>
    </row>
    <row r="393" spans="1:13">
      <c r="A393" s="896">
        <v>8.5</v>
      </c>
      <c r="B393" s="903">
        <v>0.64249999999999996</v>
      </c>
      <c r="C393" s="903">
        <v>0.64249999999999996</v>
      </c>
      <c r="D393" s="903">
        <v>0.60319999999999996</v>
      </c>
      <c r="E393" s="903">
        <v>0.60319999999999996</v>
      </c>
      <c r="F393" s="903">
        <v>0.60319999999999996</v>
      </c>
      <c r="G393" s="903">
        <v>0.52900000000000003</v>
      </c>
      <c r="H393" s="903">
        <v>0.52900000000000003</v>
      </c>
      <c r="I393" s="903">
        <v>0.45140000000000002</v>
      </c>
      <c r="J393" s="903">
        <v>0.45140000000000002</v>
      </c>
      <c r="K393" s="903">
        <v>0.45140000000000002</v>
      </c>
      <c r="L393" s="903">
        <v>0.45140000000000002</v>
      </c>
      <c r="M393" s="903">
        <v>0.45140000000000002</v>
      </c>
    </row>
    <row r="394" spans="1:13">
      <c r="A394" s="896">
        <v>8.6</v>
      </c>
      <c r="B394" s="903">
        <v>0.64149999999999996</v>
      </c>
      <c r="C394" s="903">
        <v>0.64149999999999996</v>
      </c>
      <c r="D394" s="903">
        <v>0.60189999999999999</v>
      </c>
      <c r="E394" s="903">
        <v>0.60189999999999999</v>
      </c>
      <c r="F394" s="903">
        <v>0.60189999999999999</v>
      </c>
      <c r="G394" s="903">
        <v>0.52749999999999997</v>
      </c>
      <c r="H394" s="903">
        <v>0.52749999999999997</v>
      </c>
      <c r="I394" s="903">
        <v>0.45</v>
      </c>
      <c r="J394" s="903">
        <v>0.45</v>
      </c>
      <c r="K394" s="903">
        <v>0.45</v>
      </c>
      <c r="L394" s="903">
        <v>0.45</v>
      </c>
      <c r="M394" s="903">
        <v>0.45</v>
      </c>
    </row>
    <row r="395" spans="1:13">
      <c r="A395" s="896">
        <v>8.6999999999999993</v>
      </c>
      <c r="B395" s="903">
        <v>0.64049999999999996</v>
      </c>
      <c r="C395" s="903">
        <v>0.64049999999999996</v>
      </c>
      <c r="D395" s="903">
        <v>0.60060000000000002</v>
      </c>
      <c r="E395" s="903">
        <v>0.60060000000000002</v>
      </c>
      <c r="F395" s="903">
        <v>0.60060000000000002</v>
      </c>
      <c r="G395" s="903">
        <v>0.52610000000000001</v>
      </c>
      <c r="H395" s="903">
        <v>0.52610000000000001</v>
      </c>
      <c r="I395" s="903">
        <v>0.44850000000000001</v>
      </c>
      <c r="J395" s="903">
        <v>0.44850000000000001</v>
      </c>
      <c r="K395" s="903">
        <v>0.44850000000000001</v>
      </c>
      <c r="L395" s="903">
        <v>0.44850000000000001</v>
      </c>
      <c r="M395" s="903">
        <v>0.44850000000000001</v>
      </c>
    </row>
    <row r="396" spans="1:13">
      <c r="A396" s="896">
        <v>8.8000000000000007</v>
      </c>
      <c r="B396" s="903">
        <v>0.63949999999999996</v>
      </c>
      <c r="C396" s="903">
        <v>0.63949999999999996</v>
      </c>
      <c r="D396" s="903">
        <v>0.59930000000000005</v>
      </c>
      <c r="E396" s="903">
        <v>0.59930000000000005</v>
      </c>
      <c r="F396" s="903">
        <v>0.59930000000000005</v>
      </c>
      <c r="G396" s="903">
        <v>0.52459999999999996</v>
      </c>
      <c r="H396" s="903">
        <v>0.52459999999999996</v>
      </c>
      <c r="I396" s="903">
        <v>0.4471</v>
      </c>
      <c r="J396" s="903">
        <v>0.4471</v>
      </c>
      <c r="K396" s="903">
        <v>0.4471</v>
      </c>
      <c r="L396" s="903">
        <v>0.4471</v>
      </c>
      <c r="M396" s="903">
        <v>0.4471</v>
      </c>
    </row>
    <row r="397" spans="1:13">
      <c r="A397" s="896">
        <v>8.9</v>
      </c>
      <c r="B397" s="903">
        <v>0.63849999999999996</v>
      </c>
      <c r="C397" s="903">
        <v>0.63849999999999996</v>
      </c>
      <c r="D397" s="903">
        <v>0.59799999999999998</v>
      </c>
      <c r="E397" s="903">
        <v>0.59799999999999998</v>
      </c>
      <c r="F397" s="903">
        <v>0.59799999999999998</v>
      </c>
      <c r="G397" s="903">
        <v>0.5232</v>
      </c>
      <c r="H397" s="903">
        <v>0.5232</v>
      </c>
      <c r="I397" s="903">
        <v>0.4456</v>
      </c>
      <c r="J397" s="903">
        <v>0.4456</v>
      </c>
      <c r="K397" s="903">
        <v>0.4456</v>
      </c>
      <c r="L397" s="903">
        <v>0.4456</v>
      </c>
      <c r="M397" s="903">
        <v>0.4456</v>
      </c>
    </row>
    <row r="398" spans="1:13">
      <c r="A398" s="911">
        <v>9</v>
      </c>
      <c r="B398" s="903">
        <v>0.63749999999999996</v>
      </c>
      <c r="C398" s="903">
        <v>0.63749999999999996</v>
      </c>
      <c r="D398" s="903">
        <v>0.59670000000000001</v>
      </c>
      <c r="E398" s="903">
        <v>0.59670000000000001</v>
      </c>
      <c r="F398" s="903">
        <v>0.59670000000000001</v>
      </c>
      <c r="G398" s="903">
        <v>0.52170000000000005</v>
      </c>
      <c r="H398" s="903">
        <v>0.52170000000000005</v>
      </c>
      <c r="I398" s="903">
        <v>0.44429999999999997</v>
      </c>
      <c r="J398" s="903">
        <v>0.44429999999999997</v>
      </c>
      <c r="K398" s="903">
        <v>0.44429999999999997</v>
      </c>
      <c r="L398" s="903">
        <v>0.44429999999999997</v>
      </c>
      <c r="M398" s="903">
        <v>0.44429999999999997</v>
      </c>
    </row>
    <row r="399" spans="1:13">
      <c r="A399" s="911">
        <v>9.1</v>
      </c>
      <c r="B399" s="903">
        <v>0.63649999999999995</v>
      </c>
      <c r="C399" s="903">
        <v>0.63649999999999995</v>
      </c>
      <c r="D399" s="903">
        <v>0.59540000000000004</v>
      </c>
      <c r="E399" s="903">
        <v>0.59540000000000004</v>
      </c>
      <c r="F399" s="903">
        <v>0.59540000000000004</v>
      </c>
      <c r="G399" s="903">
        <v>0.52029999999999998</v>
      </c>
      <c r="H399" s="903">
        <v>0.52029999999999998</v>
      </c>
      <c r="I399" s="903">
        <v>0.44290000000000002</v>
      </c>
      <c r="J399" s="903">
        <v>0.44290000000000002</v>
      </c>
      <c r="K399" s="903">
        <v>0.44290000000000002</v>
      </c>
      <c r="L399" s="903">
        <v>0.44290000000000002</v>
      </c>
      <c r="M399" s="903">
        <v>0.44290000000000002</v>
      </c>
    </row>
    <row r="400" spans="1:13">
      <c r="A400" s="911">
        <v>9.1999999999999993</v>
      </c>
      <c r="B400" s="903">
        <v>0.63549999999999995</v>
      </c>
      <c r="C400" s="903">
        <v>0.63549999999999995</v>
      </c>
      <c r="D400" s="903">
        <v>0.59409999999999996</v>
      </c>
      <c r="E400" s="903">
        <v>0.59409999999999996</v>
      </c>
      <c r="F400" s="903">
        <v>0.59409999999999996</v>
      </c>
      <c r="G400" s="903">
        <v>0.51880000000000004</v>
      </c>
      <c r="H400" s="903">
        <v>0.51880000000000004</v>
      </c>
      <c r="I400" s="903">
        <v>0.44159999999999999</v>
      </c>
      <c r="J400" s="903">
        <v>0.44159999999999999</v>
      </c>
      <c r="K400" s="903">
        <v>0.44159999999999999</v>
      </c>
      <c r="L400" s="903">
        <v>0.44159999999999999</v>
      </c>
      <c r="M400" s="903">
        <v>0.44159999999999999</v>
      </c>
    </row>
    <row r="401" spans="1:13">
      <c r="A401" s="911">
        <v>9.3000000000000007</v>
      </c>
      <c r="B401" s="903">
        <v>0.63449999999999995</v>
      </c>
      <c r="C401" s="903">
        <v>0.63449999999999995</v>
      </c>
      <c r="D401" s="903">
        <v>0.59279999999999999</v>
      </c>
      <c r="E401" s="903">
        <v>0.59279999999999999</v>
      </c>
      <c r="F401" s="903">
        <v>0.59279999999999999</v>
      </c>
      <c r="G401" s="903">
        <v>0.51739999999999997</v>
      </c>
      <c r="H401" s="903">
        <v>0.51739999999999997</v>
      </c>
      <c r="I401" s="903">
        <v>0.44019999999999998</v>
      </c>
      <c r="J401" s="903">
        <v>0.44019999999999998</v>
      </c>
      <c r="K401" s="903">
        <v>0.44019999999999998</v>
      </c>
      <c r="L401" s="903">
        <v>0.44019999999999998</v>
      </c>
      <c r="M401" s="903">
        <v>0.44019999999999998</v>
      </c>
    </row>
    <row r="402" spans="1:13">
      <c r="A402" s="911">
        <v>9.4</v>
      </c>
      <c r="B402" s="903">
        <v>0.63349999999999995</v>
      </c>
      <c r="C402" s="903">
        <v>0.63349999999999995</v>
      </c>
      <c r="D402" s="903">
        <v>0.59150000000000003</v>
      </c>
      <c r="E402" s="903">
        <v>0.59150000000000003</v>
      </c>
      <c r="F402" s="903">
        <v>0.59150000000000003</v>
      </c>
      <c r="G402" s="903">
        <v>0.51600000000000001</v>
      </c>
      <c r="H402" s="903">
        <v>0.51600000000000001</v>
      </c>
      <c r="I402" s="903">
        <v>0.43880000000000002</v>
      </c>
      <c r="J402" s="903">
        <v>0.43880000000000002</v>
      </c>
      <c r="K402" s="903">
        <v>0.43880000000000002</v>
      </c>
      <c r="L402" s="903">
        <v>0.43880000000000002</v>
      </c>
      <c r="M402" s="903">
        <v>0.43880000000000002</v>
      </c>
    </row>
    <row r="403" spans="1:13">
      <c r="A403" s="911">
        <v>9.5</v>
      </c>
      <c r="B403" s="903">
        <v>0.63249999999999995</v>
      </c>
      <c r="C403" s="903">
        <v>0.63249999999999995</v>
      </c>
      <c r="D403" s="903">
        <v>0.59030000000000005</v>
      </c>
      <c r="E403" s="903">
        <v>0.59030000000000005</v>
      </c>
      <c r="F403" s="903">
        <v>0.59030000000000005</v>
      </c>
      <c r="G403" s="903">
        <v>0.51470000000000005</v>
      </c>
      <c r="H403" s="903">
        <v>0.51470000000000005</v>
      </c>
      <c r="I403" s="903">
        <v>0.4375</v>
      </c>
      <c r="J403" s="903">
        <v>0.4375</v>
      </c>
      <c r="K403" s="903">
        <v>0.4375</v>
      </c>
      <c r="L403" s="903">
        <v>0.4375</v>
      </c>
      <c r="M403" s="903">
        <v>0.4375</v>
      </c>
    </row>
    <row r="404" spans="1:13">
      <c r="A404" s="911">
        <v>9.6</v>
      </c>
      <c r="B404" s="903">
        <v>0.63149999999999995</v>
      </c>
      <c r="C404" s="903">
        <v>0.63149999999999995</v>
      </c>
      <c r="D404" s="903">
        <v>0.58909999999999996</v>
      </c>
      <c r="E404" s="903">
        <v>0.58909999999999996</v>
      </c>
      <c r="F404" s="903">
        <v>0.58909999999999996</v>
      </c>
      <c r="G404" s="903">
        <v>0.51329999999999998</v>
      </c>
      <c r="H404" s="903">
        <v>0.51329999999999998</v>
      </c>
      <c r="I404" s="903">
        <v>0.43609999999999999</v>
      </c>
      <c r="J404" s="903">
        <v>0.43609999999999999</v>
      </c>
      <c r="K404" s="903">
        <v>0.43609999999999999</v>
      </c>
      <c r="L404" s="903">
        <v>0.43609999999999999</v>
      </c>
      <c r="M404" s="903">
        <v>0.43609999999999999</v>
      </c>
    </row>
    <row r="405" spans="1:13">
      <c r="A405" s="911">
        <v>9.6999999999999993</v>
      </c>
      <c r="B405" s="903">
        <v>0.63049999999999995</v>
      </c>
      <c r="C405" s="903">
        <v>0.63049999999999995</v>
      </c>
      <c r="D405" s="903">
        <v>0.58789999999999998</v>
      </c>
      <c r="E405" s="903">
        <v>0.58789999999999998</v>
      </c>
      <c r="F405" s="903">
        <v>0.58789999999999998</v>
      </c>
      <c r="G405" s="903">
        <v>0.51200000000000001</v>
      </c>
      <c r="H405" s="903">
        <v>0.51200000000000001</v>
      </c>
      <c r="I405" s="903">
        <v>0.43480000000000002</v>
      </c>
      <c r="J405" s="903">
        <v>0.43480000000000002</v>
      </c>
      <c r="K405" s="903">
        <v>0.43480000000000002</v>
      </c>
      <c r="L405" s="903">
        <v>0.43480000000000002</v>
      </c>
      <c r="M405" s="903">
        <v>0.43480000000000002</v>
      </c>
    </row>
    <row r="406" spans="1:13">
      <c r="A406" s="911">
        <v>9.8000000000000007</v>
      </c>
      <c r="B406" s="903">
        <v>0.62949999999999995</v>
      </c>
      <c r="C406" s="903">
        <v>0.62949999999999995</v>
      </c>
      <c r="D406" s="903">
        <v>0.5867</v>
      </c>
      <c r="E406" s="903">
        <v>0.5867</v>
      </c>
      <c r="F406" s="903">
        <v>0.5867</v>
      </c>
      <c r="G406" s="903">
        <v>0.51060000000000005</v>
      </c>
      <c r="H406" s="903">
        <v>0.51060000000000005</v>
      </c>
      <c r="I406" s="903">
        <v>0.43340000000000001</v>
      </c>
      <c r="J406" s="903">
        <v>0.43340000000000001</v>
      </c>
      <c r="K406" s="903">
        <v>0.43340000000000001</v>
      </c>
      <c r="L406" s="903">
        <v>0.43340000000000001</v>
      </c>
      <c r="M406" s="903">
        <v>0.43340000000000001</v>
      </c>
    </row>
    <row r="407" spans="1:13">
      <c r="A407" s="911">
        <v>9.9</v>
      </c>
      <c r="B407" s="903">
        <v>0.62849999999999995</v>
      </c>
      <c r="C407" s="903">
        <v>0.62849999999999995</v>
      </c>
      <c r="D407" s="903">
        <v>0.58550000000000002</v>
      </c>
      <c r="E407" s="903">
        <v>0.58550000000000002</v>
      </c>
      <c r="F407" s="903">
        <v>0.58550000000000002</v>
      </c>
      <c r="G407" s="903">
        <v>0.50919999999999999</v>
      </c>
      <c r="H407" s="903">
        <v>0.50919999999999999</v>
      </c>
      <c r="I407" s="903">
        <v>0.432</v>
      </c>
      <c r="J407" s="903">
        <v>0.432</v>
      </c>
      <c r="K407" s="903">
        <v>0.432</v>
      </c>
      <c r="L407" s="903">
        <v>0.432</v>
      </c>
      <c r="M407" s="903">
        <v>0.432</v>
      </c>
    </row>
    <row r="408" spans="1:13">
      <c r="A408" s="911">
        <v>10</v>
      </c>
      <c r="B408" s="903">
        <v>0.62749999999999995</v>
      </c>
      <c r="C408" s="903">
        <v>0.62749999999999995</v>
      </c>
      <c r="D408" s="903">
        <v>0.58430000000000004</v>
      </c>
      <c r="E408" s="903">
        <v>0.58430000000000004</v>
      </c>
      <c r="F408" s="903">
        <v>0.58430000000000004</v>
      </c>
      <c r="G408" s="903">
        <v>0.50790000000000002</v>
      </c>
      <c r="H408" s="903">
        <v>0.50790000000000002</v>
      </c>
      <c r="I408" s="903">
        <v>0.43070000000000003</v>
      </c>
      <c r="J408" s="903">
        <v>0.43070000000000003</v>
      </c>
      <c r="K408" s="903">
        <v>0.43070000000000003</v>
      </c>
      <c r="L408" s="903">
        <v>0.43070000000000003</v>
      </c>
      <c r="M408" s="903">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5" customWidth="1"/>
    <col min="2" max="2" width="12.5" style="1945" customWidth="1"/>
    <col min="3" max="3" width="12.125" style="1945" customWidth="1"/>
    <col min="4" max="4" width="14.125" style="1945" customWidth="1"/>
    <col min="5" max="5" width="12.5" style="1945" customWidth="1"/>
    <col min="6" max="16384" width="9" style="1945"/>
  </cols>
  <sheetData>
    <row r="1" spans="1:5" ht="21">
      <c r="A1" s="2559" t="s">
        <v>2997</v>
      </c>
    </row>
    <row r="2" spans="1:5" ht="15.75">
      <c r="A2" s="2906" t="s">
        <v>2989</v>
      </c>
      <c r="B2" s="2907">
        <f ca="1">SUMIF(B6:B13,"&lt;&gt;#ref!",B6:B13)</f>
        <v>74325</v>
      </c>
      <c r="C2" s="2906" t="s">
        <v>2990</v>
      </c>
      <c r="D2" s="2906" t="s">
        <v>2991</v>
      </c>
      <c r="E2" s="2907" t="e">
        <f ca="1">SUM(E6:E13)</f>
        <v>#REF!</v>
      </c>
    </row>
    <row r="3" spans="1:5" ht="15.75">
      <c r="A3" s="2906" t="s">
        <v>2992</v>
      </c>
      <c r="B3" s="2907" t="e">
        <f ca="1">ROUND(B2*10000/E2,0)</f>
        <v>#REF!</v>
      </c>
      <c r="C3" s="2906" t="s">
        <v>2998</v>
      </c>
      <c r="D3" s="2908"/>
      <c r="E3" s="2908"/>
    </row>
    <row r="4" spans="1:5" ht="15.75">
      <c r="A4" s="2909"/>
      <c r="B4" s="2908"/>
      <c r="C4" s="2908"/>
      <c r="D4" s="2908"/>
      <c r="E4" s="2908"/>
    </row>
    <row r="5" spans="1:5" ht="28.5">
      <c r="A5" s="2910" t="s">
        <v>2993</v>
      </c>
      <c r="B5" s="2906" t="s">
        <v>2994</v>
      </c>
      <c r="C5" s="2907"/>
      <c r="D5" s="2908"/>
      <c r="E5" s="2906" t="s">
        <v>2995</v>
      </c>
    </row>
    <row r="6" spans="1:5" ht="15.75">
      <c r="A6" s="2911" t="s">
        <v>2996</v>
      </c>
      <c r="B6" s="2907">
        <f ca="1">SUMIF(INDIRECT("'"&amp;A6&amp;"'"&amp;"!A:A"),"总价",INDIRECT("'"&amp;A6&amp;"'"&amp;"!B:B"))</f>
        <v>74325</v>
      </c>
      <c r="C6" s="2906" t="s">
        <v>2990</v>
      </c>
      <c r="D6" s="2908"/>
      <c r="E6" s="2573">
        <f ca="1">SUMIF(INDIRECT("'"&amp;A6&amp;"'"&amp;"!C:C"),"建筑面积",INDIRECT("'"&amp;A6&amp;"'"&amp;"!D:D"))</f>
        <v>69283.42999999992</v>
      </c>
    </row>
    <row r="7" spans="1:5" ht="15.75">
      <c r="A7" s="2911"/>
      <c r="B7" s="2907" t="e">
        <f ca="1">SUMIF(INDIRECT("'"&amp;A7&amp;"'"&amp;"!A:A"),"总价",INDIRECT("'"&amp;A7&amp;"'"&amp;"!B:B"))</f>
        <v>#REF!</v>
      </c>
      <c r="C7" s="2906" t="s">
        <v>2990</v>
      </c>
      <c r="D7" s="2908"/>
      <c r="E7" s="2573" t="e">
        <f t="shared" ref="E7:E13" ca="1" si="0">SUMIF(INDIRECT("'"&amp;A7&amp;"'"&amp;"!C:C"),"建筑面积",INDIRECT("'"&amp;A7&amp;"'"&amp;"!D:D"))</f>
        <v>#REF!</v>
      </c>
    </row>
    <row r="8" spans="1:5" ht="15.75">
      <c r="A8" s="2911"/>
      <c r="B8" s="2907" t="e">
        <f t="shared" ref="B8:B13" ca="1" si="1">SUMIF(INDIRECT("'"&amp;A8&amp;"'"&amp;"!A:A"),"总价",INDIRECT("'"&amp;A8&amp;"'"&amp;"!B:B"))</f>
        <v>#REF!</v>
      </c>
      <c r="C8" s="2906" t="s">
        <v>2990</v>
      </c>
      <c r="D8" s="2908"/>
      <c r="E8" s="2573" t="e">
        <f t="shared" ca="1" si="0"/>
        <v>#REF!</v>
      </c>
    </row>
    <row r="9" spans="1:5" ht="15.75">
      <c r="A9" s="2911"/>
      <c r="B9" s="2907" t="e">
        <f t="shared" ca="1" si="1"/>
        <v>#REF!</v>
      </c>
      <c r="C9" s="2906" t="s">
        <v>2990</v>
      </c>
      <c r="D9" s="2908"/>
      <c r="E9" s="2573" t="e">
        <f t="shared" ca="1" si="0"/>
        <v>#REF!</v>
      </c>
    </row>
    <row r="10" spans="1:5" ht="15.75">
      <c r="A10" s="2911"/>
      <c r="B10" s="2907" t="e">
        <f t="shared" ca="1" si="1"/>
        <v>#REF!</v>
      </c>
      <c r="C10" s="2906" t="s">
        <v>2990</v>
      </c>
      <c r="D10" s="2908"/>
      <c r="E10" s="2573" t="e">
        <f t="shared" ca="1" si="0"/>
        <v>#REF!</v>
      </c>
    </row>
    <row r="11" spans="1:5" ht="15.75">
      <c r="A11" s="2911"/>
      <c r="B11" s="2907" t="e">
        <f t="shared" ca="1" si="1"/>
        <v>#REF!</v>
      </c>
      <c r="C11" s="2906" t="s">
        <v>2990</v>
      </c>
      <c r="D11" s="2908"/>
      <c r="E11" s="2573" t="e">
        <f t="shared" ca="1" si="0"/>
        <v>#REF!</v>
      </c>
    </row>
    <row r="12" spans="1:5" ht="15.75">
      <c r="A12" s="2911"/>
      <c r="B12" s="2907" t="e">
        <f t="shared" ca="1" si="1"/>
        <v>#REF!</v>
      </c>
      <c r="C12" s="2906" t="s">
        <v>2990</v>
      </c>
      <c r="D12" s="2908"/>
      <c r="E12" s="2573" t="e">
        <f t="shared" ca="1" si="0"/>
        <v>#REF!</v>
      </c>
    </row>
    <row r="13" spans="1:5" ht="15.75">
      <c r="A13" s="2911"/>
      <c r="B13" s="2907" t="e">
        <f t="shared" ca="1" si="1"/>
        <v>#REF!</v>
      </c>
      <c r="C13" s="2906" t="s">
        <v>2990</v>
      </c>
      <c r="D13" s="2908"/>
      <c r="E13" s="2573"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2999</v>
      </c>
      <c r="C1" s="3448" t="s">
        <v>3000</v>
      </c>
      <c r="D1" s="3449"/>
      <c r="E1" s="3449"/>
      <c r="F1" s="3449"/>
      <c r="G1" s="3449"/>
      <c r="H1" s="3449"/>
      <c r="I1" s="3449"/>
      <c r="J1" s="3449"/>
      <c r="K1" s="3449"/>
      <c r="L1" s="3449"/>
      <c r="M1" s="3449"/>
      <c r="N1" s="3449"/>
      <c r="O1" s="3449"/>
      <c r="P1" s="3449"/>
      <c r="Q1" s="3449"/>
      <c r="R1" s="3449"/>
      <c r="S1" s="3450"/>
      <c r="T1" s="1204" t="s">
        <v>3001</v>
      </c>
    </row>
    <row r="2" spans="1:45" s="707" customFormat="1">
      <c r="A2" s="1205"/>
      <c r="B2" s="703" t="s">
        <v>3002</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3003</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3004</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3005</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3006</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3007</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3008</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2" t="s">
        <v>3009</v>
      </c>
      <c r="B17" s="2913" t="s">
        <v>3010</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4" t="s">
        <v>3011</v>
      </c>
      <c r="E19" s="1792"/>
      <c r="F19" s="1792"/>
      <c r="G19" s="1792"/>
      <c r="H19" s="1280"/>
      <c r="I19" s="168"/>
      <c r="J19" s="168"/>
      <c r="K19" s="168"/>
      <c r="L19" s="168"/>
      <c r="M19" s="168"/>
      <c r="N19" s="168"/>
      <c r="O19" s="168"/>
      <c r="P19" s="168"/>
      <c r="Q19" s="168"/>
      <c r="R19" s="788"/>
      <c r="S19" s="138"/>
    </row>
    <row r="20" spans="1:45" ht="16.5" thickBot="1">
      <c r="A20" s="715" t="s">
        <v>3012</v>
      </c>
      <c r="B20" s="338" t="e">
        <f ca="1">IF(D20="——",S22,S22-F20)</f>
        <v>#REF!</v>
      </c>
      <c r="C20" s="168"/>
      <c r="D20" s="2915" t="s">
        <v>3013</v>
      </c>
      <c r="E20" s="1793"/>
      <c r="F20" s="1204" t="e">
        <f ca="1">SUMIF(INDIRECT("'"&amp;H20&amp;"'"&amp;"!A:A"),"承租人权益价值",INDIRECT("'"&amp;H20&amp;"'"&amp;"!c:c"))</f>
        <v>#REF!</v>
      </c>
      <c r="G20" s="1204" t="s">
        <v>3014</v>
      </c>
      <c r="H20" s="2916"/>
      <c r="I20" s="168"/>
      <c r="J20" s="168"/>
      <c r="K20" s="168"/>
      <c r="L20" s="168"/>
      <c r="M20" s="168"/>
      <c r="N20" s="168"/>
      <c r="O20" s="168"/>
      <c r="P20" s="168"/>
      <c r="Q20" s="168"/>
      <c r="R20" s="788"/>
      <c r="S20" s="138"/>
    </row>
    <row r="21" spans="1:45" ht="15.75">
      <c r="A21" s="715" t="s">
        <v>3015</v>
      </c>
      <c r="B21" s="338">
        <f>R22</f>
        <v>10000</v>
      </c>
      <c r="C21" s="168"/>
      <c r="D21" s="168"/>
      <c r="E21" s="168"/>
      <c r="F21" s="168"/>
      <c r="G21" s="168"/>
      <c r="H21" s="168"/>
      <c r="I21" s="168"/>
      <c r="J21" s="168"/>
      <c r="K21" s="168"/>
      <c r="L21" s="168"/>
      <c r="M21" s="168"/>
      <c r="N21" s="168"/>
      <c r="O21" s="168"/>
      <c r="P21" s="168"/>
      <c r="Q21" s="168"/>
      <c r="R21" s="788"/>
      <c r="S21" s="138"/>
    </row>
    <row r="22" spans="1:45">
      <c r="A22" s="361" t="s">
        <v>3016</v>
      </c>
      <c r="B22" s="24">
        <f>SUM(B24:B10000)</f>
        <v>100</v>
      </c>
      <c r="C22" s="3305" t="s">
        <v>33</v>
      </c>
      <c r="D22" s="3306"/>
      <c r="E22" s="3306"/>
      <c r="F22" s="3306"/>
      <c r="G22" s="3306"/>
      <c r="H22" s="3306"/>
      <c r="I22" s="3306"/>
      <c r="J22" s="3306"/>
      <c r="K22" s="3306"/>
      <c r="L22" s="3306"/>
      <c r="M22" s="3306"/>
      <c r="N22" s="3306"/>
      <c r="O22" s="3306"/>
      <c r="P22" s="3306"/>
      <c r="Q22" s="3447"/>
      <c r="R22" s="716">
        <f>ROUND(S22*10000/B22,0)</f>
        <v>10000</v>
      </c>
      <c r="S22" s="24">
        <f>SUM(S24:S10000)</f>
        <v>100</v>
      </c>
    </row>
    <row r="23" spans="1:45" s="12" customFormat="1" ht="24">
      <c r="A23" s="11" t="s">
        <v>3017</v>
      </c>
      <c r="B23" s="11" t="s">
        <v>3018</v>
      </c>
      <c r="C23" s="11" t="s">
        <v>3019</v>
      </c>
      <c r="D23" s="11" t="str">
        <f>B5</f>
        <v>修正项2</v>
      </c>
      <c r="E23" s="11" t="s">
        <v>3019</v>
      </c>
      <c r="F23" s="11" t="str">
        <f>B7</f>
        <v>修正项3</v>
      </c>
      <c r="G23" s="11" t="s">
        <v>3019</v>
      </c>
      <c r="H23" s="11" t="str">
        <f>B9</f>
        <v>修正项4</v>
      </c>
      <c r="I23" s="11" t="s">
        <v>3019</v>
      </c>
      <c r="J23" s="11" t="str">
        <f>B11</f>
        <v>修正项5</v>
      </c>
      <c r="K23" s="11" t="s">
        <v>3019</v>
      </c>
      <c r="L23" s="11" t="str">
        <f>B13</f>
        <v>修正项6</v>
      </c>
      <c r="M23" s="11" t="s">
        <v>3019</v>
      </c>
      <c r="N23" s="11" t="str">
        <f>B15</f>
        <v>修正项7</v>
      </c>
      <c r="O23" s="11" t="s">
        <v>3019</v>
      </c>
      <c r="P23" s="11" t="str">
        <f>B17</f>
        <v>楼层</v>
      </c>
      <c r="Q23" s="11" t="s">
        <v>3019</v>
      </c>
      <c r="R23" s="717" t="s">
        <v>3020</v>
      </c>
      <c r="S23" s="11" t="s">
        <v>3021</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3022</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55178</v>
      </c>
      <c r="C2" s="2" t="s">
        <v>133</v>
      </c>
      <c r="D2" s="243"/>
      <c r="E2" s="243"/>
      <c r="F2" s="243"/>
      <c r="G2" s="243"/>
    </row>
    <row r="3" spans="1:7" s="244" customFormat="1" ht="18" customHeight="1" thickBot="1">
      <c r="A3" s="247" t="s">
        <v>85</v>
      </c>
      <c r="B3" s="248">
        <f ca="1">ROUND(B2*10000/'数据-汇总表'!E3,0)</f>
        <v>4702</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1148</v>
      </c>
    </row>
    <row r="9" spans="1:7" s="258" customFormat="1" ht="13.5" customHeight="1">
      <c r="A9" s="950" t="s">
        <v>800</v>
      </c>
      <c r="B9" s="268" t="s">
        <v>93</v>
      </c>
      <c r="C9" s="269">
        <f>ROUND(D9*E9/10000,0)</f>
        <v>770</v>
      </c>
      <c r="D9" s="1032">
        <f>'数据-汇总表'!E5</f>
        <v>51317.149999999921</v>
      </c>
      <c r="E9" s="269">
        <f>'数据-取费表'!B27</f>
        <v>150</v>
      </c>
      <c r="F9" s="265"/>
      <c r="G9" s="270"/>
    </row>
    <row r="10" spans="1:7" s="258" customFormat="1" ht="13.5" customHeight="1">
      <c r="A10" s="950" t="s">
        <v>801</v>
      </c>
      <c r="B10" s="268" t="s">
        <v>94</v>
      </c>
      <c r="C10" s="269">
        <f>ROUND(D10*E10/10000,0)</f>
        <v>1255</v>
      </c>
      <c r="D10" s="1032">
        <f>'数据-汇总表'!E6</f>
        <v>66031.010000000009</v>
      </c>
      <c r="E10" s="269">
        <f>'数据-取费表'!B28</f>
        <v>190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1055</v>
      </c>
      <c r="B19" s="254" t="s">
        <v>111</v>
      </c>
      <c r="C19" s="255">
        <f>IF(G19="已包含在土地取得成本中","0",ROUND(D19*E19/10000,0))</f>
        <v>1056</v>
      </c>
      <c r="D19" s="1036">
        <f>'数据-汇总表'!E3</f>
        <v>117348.15999999993</v>
      </c>
      <c r="E19" s="255">
        <f>'数据-取费表'!B31</f>
        <v>90</v>
      </c>
      <c r="F19" s="275"/>
      <c r="G19" s="1" t="s">
        <v>1074</v>
      </c>
    </row>
    <row r="20" spans="1:7" s="258" customFormat="1" ht="13.5" customHeight="1">
      <c r="A20" s="948" t="s">
        <v>1057</v>
      </c>
      <c r="B20" s="254" t="s">
        <v>104</v>
      </c>
      <c r="C20" s="276">
        <f>ROUND((C5+C19)*F20,0)</f>
        <v>433</v>
      </c>
      <c r="D20" s="276"/>
      <c r="E20" s="276"/>
      <c r="F20" s="277">
        <f>'数据-取费表'!B37</f>
        <v>0.02</v>
      </c>
      <c r="G20" s="1289" t="s">
        <v>1068</v>
      </c>
    </row>
    <row r="21" spans="1:7" s="258" customFormat="1" ht="13.5" customHeight="1">
      <c r="A21" s="948" t="s">
        <v>1059</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2017</v>
      </c>
      <c r="D22" s="279">
        <f ca="1">C26</f>
        <v>8.9999999999999998E-4</v>
      </c>
      <c r="E22" s="280" t="s">
        <v>126</v>
      </c>
      <c r="F22" s="281">
        <f ca="1">'数据-取费表'!B40</f>
        <v>4.7500000000000001E-2</v>
      </c>
      <c r="G22" s="1289" t="str">
        <f>IF('数据-取费表'!B22&lt;=1,"单利计息","复利计息")</f>
        <v>复利计息</v>
      </c>
    </row>
    <row r="23" spans="1:7" s="258" customFormat="1" ht="13.5" customHeight="1">
      <c r="A23" s="951" t="s">
        <v>794</v>
      </c>
      <c r="B23" s="259" t="s">
        <v>1061</v>
      </c>
      <c r="C23" s="1355">
        <f ca="1">ROUND(IF('数据-取费表'!B22&lt;=1,C5*F22*'数据-取费表'!B23,C5*(POWER((1+F22),'数据-取费表'!B23)-1)),0)</f>
        <v>1900</v>
      </c>
      <c r="D23" s="282"/>
      <c r="E23" s="282"/>
      <c r="F23" s="283"/>
      <c r="G23" s="284" t="s">
        <v>108</v>
      </c>
    </row>
    <row r="24" spans="1:7" s="258" customFormat="1" ht="13.5" customHeight="1">
      <c r="A24" s="951" t="s">
        <v>792</v>
      </c>
      <c r="B24" s="259" t="s">
        <v>1056</v>
      </c>
      <c r="C24" s="1355">
        <f ca="1">ROUND(IF('数据-取费表'!B22&lt;=1,C19*F22*('数据-取费表'!B19/2+'数据-取费表'!B21),C19*(POWER((1+F22),('数据-取费表'!B19/2+'数据-取费表'!B21))-1)),0)</f>
        <v>97</v>
      </c>
      <c r="D24" s="282"/>
      <c r="E24" s="282"/>
      <c r="F24" s="283"/>
      <c r="G24" s="284" t="s">
        <v>109</v>
      </c>
    </row>
    <row r="25" spans="1:7" s="258" customFormat="1" ht="24">
      <c r="A25" s="951" t="s">
        <v>793</v>
      </c>
      <c r="B25" s="259" t="s">
        <v>1058</v>
      </c>
      <c r="C25" s="1355">
        <f ca="1">ROUND(IF('数据-取费表'!B22&lt;=1,C20*F22*'数据-取费表'!B23/2,C20*(POWER((1+F22),'数据-取费表'!B23/2)-1)),0)</f>
        <v>20</v>
      </c>
      <c r="D25" s="282"/>
      <c r="E25" s="285"/>
      <c r="F25" s="283"/>
      <c r="G25" s="286" t="s">
        <v>110</v>
      </c>
    </row>
    <row r="26" spans="1:7" s="258" customFormat="1">
      <c r="A26" s="951" t="s">
        <v>795</v>
      </c>
      <c r="B26" s="259" t="s">
        <v>1060</v>
      </c>
      <c r="C26" s="282">
        <f ca="1">ROUND(IF('数据-取费表'!B22&lt;=1,F21*F22*'数据-取费表'!B23/2,F21*(POWER((1+F22),'数据-取费表'!B23/2)-1)),4)</f>
        <v>8.9999999999999998E-4</v>
      </c>
      <c r="D26" s="282"/>
      <c r="E26" s="285"/>
      <c r="F26" s="283"/>
      <c r="G26" s="287"/>
    </row>
    <row r="27" spans="1:7" s="258" customFormat="1" ht="24.75">
      <c r="A27" s="948" t="s">
        <v>787</v>
      </c>
      <c r="B27" s="288" t="s">
        <v>112</v>
      </c>
      <c r="C27" s="289">
        <f>C28</f>
        <v>2099</v>
      </c>
      <c r="D27" s="279">
        <f>C29</f>
        <v>1.9E-3</v>
      </c>
      <c r="E27" s="280" t="s">
        <v>126</v>
      </c>
      <c r="F27" s="290">
        <f>'数据-取费表'!Q16</f>
        <v>0.15</v>
      </c>
      <c r="G27" s="291" t="s">
        <v>1069</v>
      </c>
    </row>
    <row r="28" spans="1:7" s="258" customFormat="1" ht="13.5" customHeight="1">
      <c r="A28" s="951" t="s">
        <v>794</v>
      </c>
      <c r="B28" s="292" t="s">
        <v>1062</v>
      </c>
      <c r="C28" s="293">
        <f>ROUND((C5+C19+C20)*F27*'数据-取费表'!B21/'数据-取费表'!B20,0)</f>
        <v>2099</v>
      </c>
      <c r="D28" s="279"/>
      <c r="E28" s="280"/>
      <c r="F28" s="290"/>
      <c r="G28" s="291"/>
    </row>
    <row r="29" spans="1:7" s="258" customFormat="1" ht="13.5" customHeight="1">
      <c r="A29" s="951" t="s">
        <v>792</v>
      </c>
      <c r="B29" s="292" t="s">
        <v>1063</v>
      </c>
      <c r="C29" s="282">
        <f>ROUND(C21*F27*'数据-取费表'!B21/'数据-取费表'!B20,4)</f>
        <v>1.9E-3</v>
      </c>
      <c r="D29" s="279"/>
      <c r="E29" s="280"/>
      <c r="F29" s="290"/>
      <c r="G29" s="291"/>
    </row>
    <row r="30" spans="1:7" s="258" customFormat="1" ht="13.5" customHeight="1">
      <c r="A30" s="948"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28346</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20333</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17474</v>
      </c>
      <c r="D34" s="261"/>
      <c r="E34" s="264"/>
      <c r="F34" s="301">
        <f>IF('数据-取费表'!B24=0,1,'数据-取费表'!N16)</f>
        <v>0.63800000000000001</v>
      </c>
      <c r="G34" s="263" t="s">
        <v>116</v>
      </c>
    </row>
    <row r="35" spans="1:7" ht="13.5" customHeight="1">
      <c r="A35" s="951" t="s">
        <v>796</v>
      </c>
      <c r="B35" s="259" t="s">
        <v>60</v>
      </c>
      <c r="C35" s="264">
        <f>ROUND(C34*F35,0)</f>
        <v>524</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576</v>
      </c>
      <c r="D36" s="264"/>
      <c r="E36" s="264"/>
      <c r="F36" s="303">
        <f>'数据-取费表'!B34</f>
        <v>0.08</v>
      </c>
      <c r="G36" s="304" t="s">
        <v>62</v>
      </c>
    </row>
    <row r="37" spans="1:7" s="302" customFormat="1" ht="13.5" customHeight="1">
      <c r="A37" s="951" t="s">
        <v>798</v>
      </c>
      <c r="B37" s="259" t="s">
        <v>118</v>
      </c>
      <c r="C37" s="293">
        <f>ROUND(E37*D37*F34/10000,0)</f>
        <v>1497</v>
      </c>
      <c r="D37" s="261">
        <f>'数据-汇总表'!E3</f>
        <v>117348.15999999993</v>
      </c>
      <c r="E37" s="293">
        <f>'数据-取费表'!B35</f>
        <v>200</v>
      </c>
      <c r="F37" s="303"/>
      <c r="G37" s="305" t="s">
        <v>119</v>
      </c>
    </row>
    <row r="38" spans="1:7" ht="13.5" customHeight="1">
      <c r="A38" s="951" t="s">
        <v>799</v>
      </c>
      <c r="B38" s="259" t="s">
        <v>63</v>
      </c>
      <c r="C38" s="264">
        <f>ROUND(C34*F38,0)</f>
        <v>262</v>
      </c>
      <c r="D38" s="264"/>
      <c r="E38" s="264"/>
      <c r="F38" s="303">
        <f>'数据-取费表'!B36</f>
        <v>1.4999999999999999E-2</v>
      </c>
      <c r="G38" s="263" t="s">
        <v>117</v>
      </c>
    </row>
    <row r="39" spans="1:7" s="258" customFormat="1" ht="13.5" customHeight="1">
      <c r="A39" s="948" t="s">
        <v>783</v>
      </c>
      <c r="B39" s="254" t="s">
        <v>104</v>
      </c>
      <c r="C39" s="276">
        <f>ROUND(C33*F20,0)</f>
        <v>407</v>
      </c>
      <c r="D39" s="276"/>
      <c r="E39" s="276"/>
      <c r="F39" s="277"/>
      <c r="G39" s="1289" t="s">
        <v>1071</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934</v>
      </c>
      <c r="D41" s="279">
        <f ca="1">C44</f>
        <v>8.9999999999999998E-4</v>
      </c>
      <c r="E41" s="280" t="s">
        <v>129</v>
      </c>
      <c r="F41" s="281"/>
      <c r="G41" s="1289" t="str">
        <f>IF('数据-取费表'!B22&lt;=1,"单利计息","复利计息")</f>
        <v>复利计息</v>
      </c>
    </row>
    <row r="42" spans="1:7" ht="13.5" customHeight="1">
      <c r="A42" s="951" t="s">
        <v>794</v>
      </c>
      <c r="B42" s="259" t="s">
        <v>1061</v>
      </c>
      <c r="C42" s="282">
        <f ca="1">ROUND(IF('数据-取费表'!B22&lt;=1,C33*F22*'数据-取费表'!B21/2,C33*(POWER((1+F22),'数据-取费表'!B21/2)-1)),0)</f>
        <v>916</v>
      </c>
      <c r="D42" s="282"/>
      <c r="E42" s="282"/>
      <c r="F42" s="283"/>
      <c r="G42" s="3310" t="s">
        <v>121</v>
      </c>
    </row>
    <row r="43" spans="1:7" ht="13.5" customHeight="1">
      <c r="A43" s="951" t="s">
        <v>792</v>
      </c>
      <c r="B43" s="259" t="s">
        <v>1064</v>
      </c>
      <c r="C43" s="282">
        <f ca="1">ROUND(IF('数据-取费表'!B22&lt;=1,C39*F22*'数据-取费表'!B21/2,C39*(POWER((1+F22),'数据-取费表'!B21/2)-1)),0)</f>
        <v>18</v>
      </c>
      <c r="D43" s="282"/>
      <c r="E43" s="282"/>
      <c r="F43" s="283"/>
      <c r="G43" s="3311"/>
    </row>
    <row r="44" spans="1:7" ht="13.5" customHeight="1">
      <c r="A44" s="951" t="s">
        <v>793</v>
      </c>
      <c r="B44" s="259" t="s">
        <v>1066</v>
      </c>
      <c r="C44" s="282">
        <f ca="1">ROUND(IF('数据-取费表'!B22&lt;=1,C40*F22*'数据-取费表'!B21/2,C40*(POWER((1+F22),'数据-取费表'!B21/2)-1)),4)</f>
        <v>8.9999999999999998E-4</v>
      </c>
      <c r="D44" s="282"/>
      <c r="E44" s="282"/>
      <c r="F44" s="283"/>
      <c r="G44" s="3312"/>
    </row>
    <row r="45" spans="1:7" s="258" customFormat="1" ht="13.5" customHeight="1">
      <c r="A45" s="948" t="s">
        <v>786</v>
      </c>
      <c r="B45" s="288" t="s">
        <v>112</v>
      </c>
      <c r="C45" s="289">
        <f>C46</f>
        <v>3111</v>
      </c>
      <c r="D45" s="279">
        <f>C47</f>
        <v>3.0000000000000001E-3</v>
      </c>
      <c r="E45" s="280" t="s">
        <v>129</v>
      </c>
      <c r="F45" s="290"/>
      <c r="G45" s="291" t="s">
        <v>1072</v>
      </c>
    </row>
    <row r="46" spans="1:7" s="258" customFormat="1" ht="13.5" customHeight="1">
      <c r="A46" s="951" t="s">
        <v>794</v>
      </c>
      <c r="B46" s="292" t="s">
        <v>1065</v>
      </c>
      <c r="C46" s="293">
        <f>ROUND((C33+C39)*F27,0)</f>
        <v>3111</v>
      </c>
      <c r="D46" s="307"/>
      <c r="E46" s="280"/>
      <c r="F46" s="290"/>
      <c r="G46" s="291"/>
    </row>
    <row r="47" spans="1:7" s="258" customFormat="1" ht="13.5" customHeight="1">
      <c r="A47" s="951" t="s">
        <v>792</v>
      </c>
      <c r="B47" s="292" t="s">
        <v>1067</v>
      </c>
      <c r="C47" s="282">
        <f>ROUND(C40*F27,4)</f>
        <v>3.0000000000000001E-3</v>
      </c>
      <c r="D47" s="307"/>
      <c r="E47" s="280"/>
      <c r="F47" s="290"/>
      <c r="G47" s="291"/>
    </row>
    <row r="48" spans="1:7" s="258" customFormat="1" ht="13.5" customHeight="1">
      <c r="A48" s="948" t="s">
        <v>787</v>
      </c>
      <c r="B48" s="254" t="s">
        <v>122</v>
      </c>
      <c r="C48" s="306">
        <f>F30</f>
        <v>5.5000000000000007E-2</v>
      </c>
      <c r="D48" s="280" t="s">
        <v>130</v>
      </c>
      <c r="E48" s="276"/>
      <c r="F48" s="281"/>
      <c r="G48" s="278" t="s">
        <v>123</v>
      </c>
    </row>
    <row r="49" spans="1:7" ht="16.5" customHeight="1">
      <c r="A49" s="948" t="s">
        <v>788</v>
      </c>
      <c r="B49" s="254" t="s">
        <v>131</v>
      </c>
      <c r="C49" s="276">
        <f ca="1">ROUND((C33+C39+C41+C45)/(1-C40-D41-D45-C48/(1+'数据-取费表'!B42)),0)</f>
        <v>26832</v>
      </c>
      <c r="D49" s="276"/>
      <c r="E49" s="276"/>
      <c r="F49" s="308"/>
      <c r="G49" s="278" t="s">
        <v>1073</v>
      </c>
    </row>
    <row r="50" spans="1:7" s="302" customFormat="1" ht="24">
      <c r="A50" s="948" t="s">
        <v>789</v>
      </c>
      <c r="B50" s="254" t="s">
        <v>124</v>
      </c>
      <c r="C50" s="276"/>
      <c r="D50" s="276"/>
      <c r="E50" s="276"/>
      <c r="F50" s="308">
        <f>IF('数据-取费表'!B24=0,'数据-取费表'!N16,1)</f>
        <v>1</v>
      </c>
      <c r="G50" s="291" t="s">
        <v>125</v>
      </c>
    </row>
    <row r="51" spans="1:7" ht="16.5" customHeight="1">
      <c r="A51" s="948" t="s">
        <v>790</v>
      </c>
      <c r="B51" s="254" t="s">
        <v>132</v>
      </c>
      <c r="C51" s="276">
        <f ca="1">ROUND(C49*F50,0)</f>
        <v>26832</v>
      </c>
      <c r="D51" s="276"/>
      <c r="E51" s="276"/>
      <c r="F51" s="308"/>
      <c r="G51" s="278" t="s">
        <v>64</v>
      </c>
    </row>
    <row r="52" spans="1:7" s="252" customFormat="1" ht="16.5" thickBot="1">
      <c r="A52" s="309" t="s">
        <v>65</v>
      </c>
      <c r="B52" s="310"/>
      <c r="C52" s="311">
        <f ca="1">C31+C51</f>
        <v>55178</v>
      </c>
      <c r="D52" s="310"/>
      <c r="E52" s="310"/>
      <c r="F52" s="310"/>
      <c r="G52" s="312"/>
    </row>
    <row r="55" spans="1:7" ht="15">
      <c r="B55" s="314" t="s">
        <v>66</v>
      </c>
      <c r="C55" s="315"/>
    </row>
    <row r="56" spans="1:7">
      <c r="B56" s="317" t="s">
        <v>67</v>
      </c>
      <c r="C56" s="318">
        <f ca="1">ROUND(C51/C52,3)</f>
        <v>0.48599999999999999</v>
      </c>
    </row>
    <row r="57" spans="1:7">
      <c r="B57" s="317" t="s">
        <v>68</v>
      </c>
      <c r="C57" s="319">
        <f ca="1">1-C56</f>
        <v>0.51400000000000001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2" customWidth="1"/>
    <col min="2" max="5" width="10.25" style="810" customWidth="1"/>
    <col min="6" max="6" width="9" style="810"/>
    <col min="7" max="8" width="9" style="825"/>
    <col min="9" max="16384" width="9" style="810"/>
  </cols>
  <sheetData>
    <row r="1" spans="1:19">
      <c r="A1" s="3451" t="s">
        <v>156</v>
      </c>
      <c r="B1" s="3451"/>
      <c r="C1" s="3451"/>
      <c r="D1" s="3451"/>
      <c r="E1" s="3451"/>
      <c r="F1" s="3451"/>
      <c r="H1" s="827" t="s">
        <v>157</v>
      </c>
      <c r="I1" s="828" t="s">
        <v>158</v>
      </c>
      <c r="J1" s="828" t="s">
        <v>159</v>
      </c>
      <c r="K1" s="828" t="s">
        <v>160</v>
      </c>
      <c r="L1" s="828" t="s">
        <v>161</v>
      </c>
      <c r="M1" s="828" t="s">
        <v>162</v>
      </c>
      <c r="N1" s="828" t="s">
        <v>163</v>
      </c>
      <c r="O1" s="828" t="s">
        <v>164</v>
      </c>
      <c r="P1" s="828" t="s">
        <v>165</v>
      </c>
      <c r="Q1" s="828" t="s">
        <v>166</v>
      </c>
      <c r="R1" s="828" t="s">
        <v>167</v>
      </c>
      <c r="S1" s="829" t="s">
        <v>168</v>
      </c>
    </row>
    <row r="2" spans="1:19" ht="14.25" thickBot="1">
      <c r="A2" s="3452" t="s">
        <v>169</v>
      </c>
      <c r="B2" s="3452"/>
      <c r="C2" s="3452"/>
      <c r="D2" s="3452"/>
      <c r="E2" s="3452"/>
      <c r="F2" s="3452"/>
      <c r="H2" s="830" t="s">
        <v>170</v>
      </c>
      <c r="I2" s="831" t="s">
        <v>171</v>
      </c>
      <c r="J2" s="831" t="s">
        <v>172</v>
      </c>
      <c r="K2" s="831" t="s">
        <v>173</v>
      </c>
      <c r="L2" s="831" t="s">
        <v>174</v>
      </c>
      <c r="M2" s="831" t="s">
        <v>175</v>
      </c>
      <c r="N2" s="831" t="s">
        <v>176</v>
      </c>
      <c r="O2" s="831" t="s">
        <v>177</v>
      </c>
      <c r="P2" s="831" t="s">
        <v>178</v>
      </c>
      <c r="Q2" s="831" t="s">
        <v>179</v>
      </c>
      <c r="R2" s="831" t="s">
        <v>180</v>
      </c>
      <c r="S2" s="831" t="s">
        <v>181</v>
      </c>
    </row>
    <row r="3" spans="1:19" s="826" customFormat="1" ht="19.5" customHeight="1">
      <c r="A3" s="3453" t="s">
        <v>182</v>
      </c>
      <c r="B3" s="832"/>
      <c r="C3" s="833" t="s">
        <v>183</v>
      </c>
      <c r="D3" s="833" t="s">
        <v>184</v>
      </c>
      <c r="E3" s="833" t="s">
        <v>751</v>
      </c>
      <c r="F3" s="833" t="s">
        <v>186</v>
      </c>
      <c r="G3" s="834"/>
      <c r="H3" s="830" t="s">
        <v>187</v>
      </c>
      <c r="I3" s="831" t="s">
        <v>188</v>
      </c>
      <c r="J3" s="831" t="s">
        <v>189</v>
      </c>
      <c r="K3" s="831" t="s">
        <v>190</v>
      </c>
      <c r="L3" s="831" t="s">
        <v>191</v>
      </c>
      <c r="M3" s="831" t="s">
        <v>192</v>
      </c>
      <c r="N3" s="831" t="s">
        <v>193</v>
      </c>
      <c r="O3" s="831" t="s">
        <v>194</v>
      </c>
      <c r="P3" s="831" t="s">
        <v>195</v>
      </c>
      <c r="Q3" s="831" t="s">
        <v>196</v>
      </c>
      <c r="R3" s="831" t="s">
        <v>197</v>
      </c>
      <c r="S3" s="831" t="s">
        <v>198</v>
      </c>
    </row>
    <row r="4" spans="1:19" s="826" customFormat="1" ht="19.5" customHeight="1" thickBot="1">
      <c r="A4" s="3454"/>
      <c r="B4" s="835" t="s">
        <v>199</v>
      </c>
      <c r="C4" s="835" t="s">
        <v>200</v>
      </c>
      <c r="D4" s="835" t="s">
        <v>200</v>
      </c>
      <c r="E4" s="835" t="s">
        <v>200</v>
      </c>
      <c r="F4" s="836" t="s">
        <v>200</v>
      </c>
      <c r="G4" s="834"/>
      <c r="H4" s="830" t="s">
        <v>201</v>
      </c>
      <c r="I4" s="831" t="s">
        <v>138</v>
      </c>
      <c r="J4" s="831" t="s">
        <v>202</v>
      </c>
      <c r="K4" s="831" t="s">
        <v>203</v>
      </c>
      <c r="L4" s="831" t="s">
        <v>204</v>
      </c>
      <c r="M4" s="831" t="s">
        <v>205</v>
      </c>
      <c r="N4" s="831" t="s">
        <v>206</v>
      </c>
      <c r="O4" s="831" t="s">
        <v>207</v>
      </c>
      <c r="P4" s="831" t="s">
        <v>208</v>
      </c>
      <c r="Q4" s="831" t="s">
        <v>209</v>
      </c>
      <c r="R4" s="831" t="s">
        <v>210</v>
      </c>
      <c r="S4" s="831" t="s">
        <v>211</v>
      </c>
    </row>
    <row r="5" spans="1:19" ht="14.25" customHeight="1" thickBot="1">
      <c r="A5" s="837" t="s">
        <v>816</v>
      </c>
      <c r="B5" s="838" t="s">
        <v>817</v>
      </c>
      <c r="C5" s="838">
        <v>29530</v>
      </c>
      <c r="D5" s="838">
        <v>28130</v>
      </c>
      <c r="E5" s="838">
        <v>27930</v>
      </c>
      <c r="F5" s="839">
        <v>11300</v>
      </c>
      <c r="G5" s="834"/>
      <c r="H5" s="830" t="s">
        <v>213</v>
      </c>
      <c r="I5" s="831" t="s">
        <v>214</v>
      </c>
      <c r="J5" s="831" t="s">
        <v>215</v>
      </c>
      <c r="K5" s="831" t="s">
        <v>216</v>
      </c>
      <c r="L5" s="831" t="s">
        <v>217</v>
      </c>
      <c r="M5" s="831" t="s">
        <v>218</v>
      </c>
      <c r="N5" s="831" t="s">
        <v>219</v>
      </c>
      <c r="O5" s="831" t="s">
        <v>220</v>
      </c>
      <c r="P5" s="831" t="s">
        <v>221</v>
      </c>
      <c r="Q5" s="831" t="s">
        <v>222</v>
      </c>
      <c r="R5" s="831" t="s">
        <v>223</v>
      </c>
      <c r="S5" s="831" t="s">
        <v>224</v>
      </c>
    </row>
    <row r="6" spans="1:19" ht="14.25" customHeight="1" thickBot="1">
      <c r="A6" s="837" t="s">
        <v>212</v>
      </c>
      <c r="B6" s="831" t="s">
        <v>187</v>
      </c>
      <c r="C6" s="831">
        <v>30290</v>
      </c>
      <c r="D6" s="831">
        <v>29210</v>
      </c>
      <c r="E6" s="831">
        <v>28860</v>
      </c>
      <c r="F6" s="840">
        <v>12600</v>
      </c>
      <c r="G6" s="834"/>
      <c r="H6" s="830" t="s">
        <v>225</v>
      </c>
      <c r="I6" s="831" t="s">
        <v>226</v>
      </c>
      <c r="J6" s="831" t="s">
        <v>227</v>
      </c>
      <c r="K6" s="831" t="s">
        <v>228</v>
      </c>
      <c r="L6" s="831" t="s">
        <v>229</v>
      </c>
      <c r="M6" s="831" t="s">
        <v>230</v>
      </c>
      <c r="N6" s="831" t="s">
        <v>231</v>
      </c>
      <c r="O6" s="831" t="s">
        <v>232</v>
      </c>
      <c r="P6" s="831" t="s">
        <v>233</v>
      </c>
      <c r="Q6" s="831" t="s">
        <v>234</v>
      </c>
      <c r="R6" s="831" t="s">
        <v>235</v>
      </c>
      <c r="S6" s="831" t="s">
        <v>236</v>
      </c>
    </row>
    <row r="7" spans="1:19" ht="14.25" customHeight="1" thickBot="1">
      <c r="A7" s="837" t="s">
        <v>212</v>
      </c>
      <c r="B7" s="841" t="s">
        <v>201</v>
      </c>
      <c r="C7" s="831">
        <v>29350</v>
      </c>
      <c r="D7" s="831">
        <v>28410</v>
      </c>
      <c r="E7" s="831">
        <v>27990</v>
      </c>
      <c r="F7" s="840">
        <v>12300</v>
      </c>
      <c r="G7" s="834"/>
      <c r="I7" s="831" t="s">
        <v>237</v>
      </c>
      <c r="J7" s="831" t="s">
        <v>238</v>
      </c>
      <c r="K7" s="831" t="s">
        <v>239</v>
      </c>
      <c r="L7" s="831" t="s">
        <v>240</v>
      </c>
      <c r="M7" s="831" t="s">
        <v>241</v>
      </c>
      <c r="N7" s="831" t="s">
        <v>242</v>
      </c>
      <c r="O7" s="831" t="s">
        <v>243</v>
      </c>
      <c r="P7" s="831" t="s">
        <v>244</v>
      </c>
      <c r="Q7" s="831" t="s">
        <v>245</v>
      </c>
      <c r="R7" s="831" t="s">
        <v>246</v>
      </c>
      <c r="S7" s="841" t="s">
        <v>247</v>
      </c>
    </row>
    <row r="8" spans="1:19" ht="14.25" customHeight="1" thickBot="1">
      <c r="A8" s="837" t="s">
        <v>212</v>
      </c>
      <c r="B8" s="831" t="s">
        <v>213</v>
      </c>
      <c r="C8" s="831">
        <v>30890</v>
      </c>
      <c r="D8" s="831">
        <v>29780</v>
      </c>
      <c r="E8" s="831">
        <v>29270</v>
      </c>
      <c r="F8" s="840">
        <v>11600</v>
      </c>
      <c r="G8" s="834"/>
      <c r="I8" s="831" t="s">
        <v>248</v>
      </c>
      <c r="J8" s="831" t="s">
        <v>249</v>
      </c>
      <c r="K8" s="831" t="s">
        <v>250</v>
      </c>
      <c r="L8" s="831" t="s">
        <v>251</v>
      </c>
      <c r="M8" s="831" t="s">
        <v>252</v>
      </c>
      <c r="N8" s="831" t="s">
        <v>253</v>
      </c>
      <c r="O8" s="831" t="s">
        <v>254</v>
      </c>
      <c r="P8" s="831" t="s">
        <v>255</v>
      </c>
      <c r="Q8" s="831" t="s">
        <v>256</v>
      </c>
      <c r="R8" s="831" t="s">
        <v>257</v>
      </c>
      <c r="S8" s="831" t="s">
        <v>258</v>
      </c>
    </row>
    <row r="9" spans="1:19" ht="14.25" customHeight="1" thickBot="1">
      <c r="A9" s="837" t="s">
        <v>212</v>
      </c>
      <c r="B9" s="842" t="s">
        <v>225</v>
      </c>
      <c r="C9" s="843">
        <v>28140</v>
      </c>
      <c r="D9" s="843"/>
      <c r="E9" s="843"/>
      <c r="F9" s="844"/>
      <c r="G9" s="834"/>
      <c r="I9" s="831" t="s">
        <v>259</v>
      </c>
      <c r="J9" s="831" t="s">
        <v>260</v>
      </c>
      <c r="K9" s="831" t="s">
        <v>261</v>
      </c>
      <c r="L9" s="831" t="s">
        <v>262</v>
      </c>
      <c r="M9" s="831" t="s">
        <v>263</v>
      </c>
      <c r="N9" s="831" t="s">
        <v>264</v>
      </c>
      <c r="O9" s="831" t="s">
        <v>265</v>
      </c>
      <c r="P9" s="831" t="s">
        <v>266</v>
      </c>
      <c r="Q9" s="831" t="s">
        <v>267</v>
      </c>
      <c r="R9" s="831" t="s">
        <v>268</v>
      </c>
    </row>
    <row r="10" spans="1:19" ht="14.25" customHeight="1" thickBot="1">
      <c r="A10" s="837" t="s">
        <v>269</v>
      </c>
      <c r="B10" s="838" t="s">
        <v>270</v>
      </c>
      <c r="C10" s="838">
        <v>27450</v>
      </c>
      <c r="D10" s="838">
        <v>26180</v>
      </c>
      <c r="E10" s="838">
        <v>25980</v>
      </c>
      <c r="F10" s="839">
        <v>8910</v>
      </c>
      <c r="G10" s="834"/>
      <c r="I10" s="831" t="s">
        <v>271</v>
      </c>
      <c r="J10" s="831" t="s">
        <v>272</v>
      </c>
      <c r="K10" s="831" t="s">
        <v>273</v>
      </c>
      <c r="L10" s="831" t="s">
        <v>274</v>
      </c>
      <c r="M10" s="831" t="s">
        <v>275</v>
      </c>
      <c r="N10" s="831" t="s">
        <v>276</v>
      </c>
      <c r="O10" s="831" t="s">
        <v>277</v>
      </c>
      <c r="P10" s="831" t="s">
        <v>278</v>
      </c>
      <c r="Q10" s="831" t="s">
        <v>279</v>
      </c>
      <c r="R10" s="831" t="s">
        <v>280</v>
      </c>
    </row>
    <row r="11" spans="1:19" ht="14.25" customHeight="1" thickBot="1">
      <c r="A11" s="837" t="s">
        <v>269</v>
      </c>
      <c r="B11" s="841" t="s">
        <v>188</v>
      </c>
      <c r="C11" s="831">
        <v>22950</v>
      </c>
      <c r="D11" s="831">
        <v>22630</v>
      </c>
      <c r="E11" s="831">
        <v>22030</v>
      </c>
      <c r="F11" s="845">
        <v>8330</v>
      </c>
      <c r="G11" s="834"/>
      <c r="I11" s="831" t="s">
        <v>281</v>
      </c>
      <c r="J11" s="831" t="s">
        <v>282</v>
      </c>
      <c r="K11" s="831" t="s">
        <v>283</v>
      </c>
      <c r="L11" s="831" t="s">
        <v>284</v>
      </c>
      <c r="M11" s="831" t="s">
        <v>285</v>
      </c>
      <c r="N11" s="831" t="s">
        <v>286</v>
      </c>
      <c r="O11" s="831" t="s">
        <v>287</v>
      </c>
      <c r="P11" s="831" t="s">
        <v>288</v>
      </c>
      <c r="Q11" s="831" t="s">
        <v>289</v>
      </c>
      <c r="R11" s="831" t="s">
        <v>290</v>
      </c>
    </row>
    <row r="12" spans="1:19" ht="14.25" customHeight="1" thickBot="1">
      <c r="A12" s="837" t="s">
        <v>269</v>
      </c>
      <c r="B12" s="841" t="s">
        <v>138</v>
      </c>
      <c r="C12" s="831">
        <v>24940</v>
      </c>
      <c r="D12" s="831">
        <v>23180</v>
      </c>
      <c r="E12" s="831">
        <v>22910</v>
      </c>
      <c r="F12" s="845">
        <v>7180</v>
      </c>
      <c r="G12" s="834"/>
      <c r="I12" s="831" t="s">
        <v>291</v>
      </c>
      <c r="J12" s="831" t="s">
        <v>292</v>
      </c>
      <c r="K12" s="831" t="s">
        <v>293</v>
      </c>
      <c r="L12" s="831" t="s">
        <v>294</v>
      </c>
      <c r="M12" s="831" t="s">
        <v>295</v>
      </c>
      <c r="N12" s="831" t="s">
        <v>296</v>
      </c>
      <c r="O12" s="831" t="s">
        <v>297</v>
      </c>
      <c r="P12" s="831" t="s">
        <v>298</v>
      </c>
      <c r="Q12" s="831" t="s">
        <v>299</v>
      </c>
      <c r="R12" s="831" t="s">
        <v>300</v>
      </c>
    </row>
    <row r="13" spans="1:19" ht="14.25" customHeight="1" thickBot="1">
      <c r="A13" s="837" t="s">
        <v>269</v>
      </c>
      <c r="B13" s="841" t="s">
        <v>214</v>
      </c>
      <c r="C13" s="831">
        <v>24140</v>
      </c>
      <c r="D13" s="831">
        <v>22270</v>
      </c>
      <c r="E13" s="831">
        <v>21950</v>
      </c>
      <c r="F13" s="845">
        <v>7600</v>
      </c>
      <c r="G13" s="834"/>
      <c r="I13" s="831" t="s">
        <v>301</v>
      </c>
      <c r="J13" s="831" t="s">
        <v>302</v>
      </c>
      <c r="K13" s="831" t="s">
        <v>303</v>
      </c>
      <c r="L13" s="831" t="s">
        <v>304</v>
      </c>
      <c r="M13" s="831" t="s">
        <v>305</v>
      </c>
      <c r="N13" s="831" t="s">
        <v>306</v>
      </c>
      <c r="O13" s="831" t="s">
        <v>307</v>
      </c>
      <c r="P13" s="831" t="s">
        <v>308</v>
      </c>
      <c r="Q13" s="831" t="s">
        <v>309</v>
      </c>
      <c r="R13" s="831" t="s">
        <v>310</v>
      </c>
    </row>
    <row r="14" spans="1:19" ht="14.25" customHeight="1" thickBot="1">
      <c r="A14" s="837" t="s">
        <v>269</v>
      </c>
      <c r="B14" s="841" t="s">
        <v>226</v>
      </c>
      <c r="C14" s="831">
        <v>25600</v>
      </c>
      <c r="D14" s="831">
        <v>22260</v>
      </c>
      <c r="E14" s="831">
        <v>22110</v>
      </c>
      <c r="F14" s="845">
        <v>7630</v>
      </c>
      <c r="G14" s="834"/>
      <c r="I14" s="831" t="s">
        <v>311</v>
      </c>
      <c r="J14" s="831" t="s">
        <v>312</v>
      </c>
      <c r="K14" s="831" t="s">
        <v>313</v>
      </c>
      <c r="L14" s="831" t="s">
        <v>314</v>
      </c>
      <c r="M14" s="831" t="s">
        <v>315</v>
      </c>
      <c r="N14" s="831" t="s">
        <v>316</v>
      </c>
      <c r="O14" s="831" t="s">
        <v>317</v>
      </c>
      <c r="P14" s="831" t="s">
        <v>318</v>
      </c>
      <c r="Q14" s="831" t="s">
        <v>319</v>
      </c>
      <c r="R14" s="831" t="s">
        <v>320</v>
      </c>
    </row>
    <row r="15" spans="1:19" ht="14.25" customHeight="1" thickBot="1">
      <c r="A15" s="837" t="s">
        <v>269</v>
      </c>
      <c r="B15" s="841" t="s">
        <v>237</v>
      </c>
      <c r="C15" s="831">
        <v>24760</v>
      </c>
      <c r="D15" s="831">
        <v>24440</v>
      </c>
      <c r="E15" s="831">
        <v>24130</v>
      </c>
      <c r="F15" s="845">
        <v>9480</v>
      </c>
      <c r="G15" s="834"/>
      <c r="I15" s="831" t="s">
        <v>322</v>
      </c>
      <c r="J15" s="831" t="s">
        <v>323</v>
      </c>
      <c r="K15" s="831" t="s">
        <v>324</v>
      </c>
      <c r="L15" s="831" t="s">
        <v>325</v>
      </c>
      <c r="M15" s="831" t="s">
        <v>326</v>
      </c>
      <c r="N15" s="831" t="s">
        <v>327</v>
      </c>
      <c r="O15" s="831" t="s">
        <v>328</v>
      </c>
      <c r="P15" s="831" t="s">
        <v>329</v>
      </c>
      <c r="Q15" s="831" t="s">
        <v>330</v>
      </c>
      <c r="R15" s="831" t="s">
        <v>331</v>
      </c>
    </row>
    <row r="16" spans="1:19" ht="14.25" customHeight="1" thickBot="1">
      <c r="A16" s="837" t="s">
        <v>269</v>
      </c>
      <c r="B16" s="841" t="s">
        <v>248</v>
      </c>
      <c r="C16" s="831">
        <v>22220</v>
      </c>
      <c r="D16" s="831">
        <v>22310</v>
      </c>
      <c r="E16" s="831">
        <v>22000</v>
      </c>
      <c r="F16" s="845">
        <v>8900</v>
      </c>
      <c r="G16" s="834"/>
      <c r="I16" s="831" t="s">
        <v>333</v>
      </c>
      <c r="J16" s="831" t="s">
        <v>334</v>
      </c>
      <c r="K16" s="831" t="s">
        <v>335</v>
      </c>
      <c r="L16" s="831" t="s">
        <v>336</v>
      </c>
      <c r="M16" s="831" t="s">
        <v>337</v>
      </c>
      <c r="N16" s="831" t="s">
        <v>338</v>
      </c>
      <c r="O16" s="831" t="s">
        <v>339</v>
      </c>
      <c r="P16" s="831" t="s">
        <v>340</v>
      </c>
      <c r="Q16" s="831" t="s">
        <v>341</v>
      </c>
      <c r="R16" s="831" t="s">
        <v>342</v>
      </c>
    </row>
    <row r="17" spans="1:18" ht="14.25" customHeight="1" thickBot="1">
      <c r="A17" s="837" t="s">
        <v>269</v>
      </c>
      <c r="B17" s="841" t="s">
        <v>259</v>
      </c>
      <c r="C17" s="831">
        <v>24700</v>
      </c>
      <c r="D17" s="831">
        <v>25150</v>
      </c>
      <c r="E17" s="831">
        <v>24700</v>
      </c>
      <c r="F17" s="846"/>
      <c r="G17" s="834"/>
      <c r="I17" s="831" t="s">
        <v>343</v>
      </c>
      <c r="J17" s="831" t="s">
        <v>344</v>
      </c>
      <c r="K17" s="831" t="s">
        <v>345</v>
      </c>
      <c r="L17" s="831" t="s">
        <v>346</v>
      </c>
      <c r="M17" s="831" t="s">
        <v>347</v>
      </c>
      <c r="N17" s="831" t="s">
        <v>348</v>
      </c>
      <c r="O17" s="831" t="s">
        <v>349</v>
      </c>
      <c r="P17" s="831" t="s">
        <v>350</v>
      </c>
      <c r="Q17" s="831" t="s">
        <v>351</v>
      </c>
      <c r="R17" s="831" t="s">
        <v>352</v>
      </c>
    </row>
    <row r="18" spans="1:18" ht="14.25" customHeight="1" thickBot="1">
      <c r="A18" s="837" t="s">
        <v>269</v>
      </c>
      <c r="B18" s="841" t="s">
        <v>271</v>
      </c>
      <c r="C18" s="831">
        <v>22350</v>
      </c>
      <c r="D18" s="831">
        <v>24340</v>
      </c>
      <c r="E18" s="831">
        <v>24100</v>
      </c>
      <c r="F18" s="846"/>
      <c r="G18" s="834"/>
      <c r="I18" s="831" t="s">
        <v>353</v>
      </c>
      <c r="J18" s="831" t="s">
        <v>354</v>
      </c>
      <c r="K18" s="831" t="s">
        <v>355</v>
      </c>
      <c r="L18" s="831" t="s">
        <v>356</v>
      </c>
      <c r="M18" s="831" t="s">
        <v>357</v>
      </c>
      <c r="N18" s="831" t="s">
        <v>358</v>
      </c>
      <c r="O18" s="831" t="s">
        <v>359</v>
      </c>
      <c r="P18" s="831" t="s">
        <v>360</v>
      </c>
      <c r="Q18" s="831" t="s">
        <v>361</v>
      </c>
      <c r="R18" s="831" t="s">
        <v>362</v>
      </c>
    </row>
    <row r="19" spans="1:18" ht="14.25" customHeight="1" thickBot="1">
      <c r="A19" s="837" t="s">
        <v>269</v>
      </c>
      <c r="B19" s="841" t="s">
        <v>281</v>
      </c>
      <c r="C19" s="831">
        <v>23430</v>
      </c>
      <c r="D19" s="831">
        <v>21580</v>
      </c>
      <c r="E19" s="831">
        <v>21350</v>
      </c>
      <c r="F19" s="846"/>
      <c r="G19" s="834"/>
      <c r="I19" s="831" t="s">
        <v>363</v>
      </c>
      <c r="J19" s="831" t="s">
        <v>364</v>
      </c>
      <c r="K19" s="831" t="s">
        <v>365</v>
      </c>
      <c r="L19" s="831" t="s">
        <v>366</v>
      </c>
      <c r="M19" s="831" t="s">
        <v>367</v>
      </c>
      <c r="N19" s="831" t="s">
        <v>368</v>
      </c>
      <c r="O19" s="831" t="s">
        <v>369</v>
      </c>
      <c r="P19" s="831" t="s">
        <v>370</v>
      </c>
      <c r="Q19" s="831" t="s">
        <v>371</v>
      </c>
      <c r="R19" s="831" t="s">
        <v>372</v>
      </c>
    </row>
    <row r="20" spans="1:18" ht="14.25" customHeight="1" thickBot="1">
      <c r="A20" s="837" t="s">
        <v>269</v>
      </c>
      <c r="B20" s="841" t="s">
        <v>291</v>
      </c>
      <c r="C20" s="831">
        <v>27660</v>
      </c>
      <c r="D20" s="831">
        <v>24240</v>
      </c>
      <c r="E20" s="831">
        <v>24020</v>
      </c>
      <c r="F20" s="846"/>
      <c r="I20" s="831" t="s">
        <v>373</v>
      </c>
      <c r="J20" s="831" t="s">
        <v>374</v>
      </c>
      <c r="K20" s="831" t="s">
        <v>375</v>
      </c>
      <c r="L20" s="831" t="s">
        <v>376</v>
      </c>
      <c r="M20" s="831" t="s">
        <v>377</v>
      </c>
      <c r="N20" s="831" t="s">
        <v>378</v>
      </c>
      <c r="O20" s="831" t="s">
        <v>379</v>
      </c>
      <c r="P20" s="831" t="s">
        <v>380</v>
      </c>
      <c r="Q20" s="831" t="s">
        <v>381</v>
      </c>
      <c r="R20" s="831" t="s">
        <v>382</v>
      </c>
    </row>
    <row r="21" spans="1:18" ht="14.25" customHeight="1" thickBot="1">
      <c r="A21" s="837" t="s">
        <v>269</v>
      </c>
      <c r="B21" s="841" t="s">
        <v>301</v>
      </c>
      <c r="C21" s="831">
        <v>24720</v>
      </c>
      <c r="D21" s="831">
        <v>21670</v>
      </c>
      <c r="E21" s="831">
        <v>21510</v>
      </c>
      <c r="F21" s="846"/>
      <c r="J21" s="831" t="s">
        <v>383</v>
      </c>
      <c r="K21" s="831" t="s">
        <v>384</v>
      </c>
      <c r="L21" s="831" t="s">
        <v>385</v>
      </c>
      <c r="M21" s="831" t="s">
        <v>386</v>
      </c>
      <c r="N21" s="831" t="s">
        <v>387</v>
      </c>
      <c r="O21" s="831" t="s">
        <v>388</v>
      </c>
      <c r="P21" s="831" t="s">
        <v>389</v>
      </c>
      <c r="Q21" s="831" t="s">
        <v>390</v>
      </c>
      <c r="R21" s="831" t="s">
        <v>391</v>
      </c>
    </row>
    <row r="22" spans="1:18" ht="14.25" customHeight="1" thickBot="1">
      <c r="A22" s="837" t="s">
        <v>269</v>
      </c>
      <c r="B22" s="841" t="s">
        <v>392</v>
      </c>
      <c r="C22" s="831">
        <v>26530</v>
      </c>
      <c r="D22" s="831">
        <v>22980</v>
      </c>
      <c r="E22" s="831">
        <v>22650</v>
      </c>
      <c r="F22" s="846"/>
      <c r="K22" s="831" t="s">
        <v>393</v>
      </c>
      <c r="L22" s="831" t="s">
        <v>394</v>
      </c>
      <c r="M22" s="831" t="s">
        <v>395</v>
      </c>
      <c r="N22" s="831" t="s">
        <v>396</v>
      </c>
      <c r="O22" s="831" t="s">
        <v>397</v>
      </c>
      <c r="P22" s="831" t="s">
        <v>398</v>
      </c>
      <c r="Q22" s="831" t="s">
        <v>399</v>
      </c>
      <c r="R22" s="841" t="s">
        <v>400</v>
      </c>
    </row>
    <row r="23" spans="1:18" ht="14.25" customHeight="1" thickBot="1">
      <c r="A23" s="837" t="s">
        <v>269</v>
      </c>
      <c r="B23" s="841" t="s">
        <v>322</v>
      </c>
      <c r="C23" s="831">
        <v>24700</v>
      </c>
      <c r="D23" s="831">
        <v>27290</v>
      </c>
      <c r="E23" s="831">
        <v>26710</v>
      </c>
      <c r="F23" s="846"/>
      <c r="K23" s="831" t="s">
        <v>401</v>
      </c>
      <c r="L23" s="831" t="s">
        <v>402</v>
      </c>
      <c r="M23" s="831" t="s">
        <v>403</v>
      </c>
      <c r="N23" s="831" t="s">
        <v>404</v>
      </c>
      <c r="O23" s="831" t="s">
        <v>405</v>
      </c>
      <c r="P23" s="831" t="s">
        <v>406</v>
      </c>
      <c r="Q23" s="831" t="s">
        <v>407</v>
      </c>
    </row>
    <row r="24" spans="1:18" ht="14.25" customHeight="1" thickBot="1">
      <c r="A24" s="837" t="s">
        <v>269</v>
      </c>
      <c r="B24" s="841" t="s">
        <v>333</v>
      </c>
      <c r="C24" s="831">
        <v>23070</v>
      </c>
      <c r="D24" s="831">
        <v>24130</v>
      </c>
      <c r="E24" s="831">
        <v>23860</v>
      </c>
      <c r="F24" s="846"/>
      <c r="K24" s="831" t="s">
        <v>408</v>
      </c>
      <c r="L24" s="831" t="s">
        <v>409</v>
      </c>
      <c r="M24" s="831" t="s">
        <v>410</v>
      </c>
      <c r="N24" s="831" t="s">
        <v>411</v>
      </c>
      <c r="O24" s="831" t="s">
        <v>412</v>
      </c>
      <c r="P24" s="831" t="s">
        <v>413</v>
      </c>
      <c r="Q24" s="831" t="s">
        <v>414</v>
      </c>
    </row>
    <row r="25" spans="1:18" ht="14.25" customHeight="1" thickBot="1">
      <c r="A25" s="837" t="s">
        <v>269</v>
      </c>
      <c r="B25" s="841" t="s">
        <v>343</v>
      </c>
      <c r="C25" s="831">
        <v>27550</v>
      </c>
      <c r="D25" s="831">
        <v>25850</v>
      </c>
      <c r="E25" s="831">
        <v>25340</v>
      </c>
      <c r="F25" s="846"/>
      <c r="K25" s="831" t="s">
        <v>415</v>
      </c>
      <c r="L25" s="831" t="s">
        <v>416</v>
      </c>
      <c r="M25" s="831" t="s">
        <v>417</v>
      </c>
      <c r="N25" s="831" t="s">
        <v>418</v>
      </c>
      <c r="O25" s="831" t="s">
        <v>419</v>
      </c>
      <c r="P25" s="831" t="s">
        <v>420</v>
      </c>
      <c r="Q25" s="831" t="s">
        <v>421</v>
      </c>
    </row>
    <row r="26" spans="1:18" ht="14.25" customHeight="1" thickBot="1">
      <c r="A26" s="837" t="s">
        <v>269</v>
      </c>
      <c r="B26" s="841" t="s">
        <v>353</v>
      </c>
      <c r="C26" s="831"/>
      <c r="D26" s="831">
        <v>23900</v>
      </c>
      <c r="E26" s="831">
        <v>23590</v>
      </c>
      <c r="F26" s="846"/>
      <c r="K26" s="831" t="s">
        <v>422</v>
      </c>
      <c r="L26" s="831" t="s">
        <v>423</v>
      </c>
      <c r="M26" s="831" t="s">
        <v>424</v>
      </c>
      <c r="N26" s="831" t="s">
        <v>425</v>
      </c>
      <c r="O26" s="831" t="s">
        <v>426</v>
      </c>
      <c r="P26" s="831" t="s">
        <v>427</v>
      </c>
      <c r="Q26" s="831" t="s">
        <v>428</v>
      </c>
    </row>
    <row r="27" spans="1:18" ht="14.25" customHeight="1" thickBot="1">
      <c r="A27" s="837" t="s">
        <v>269</v>
      </c>
      <c r="B27" s="841" t="s">
        <v>363</v>
      </c>
      <c r="C27" s="831"/>
      <c r="D27" s="831">
        <v>22850</v>
      </c>
      <c r="E27" s="831">
        <v>21920</v>
      </c>
      <c r="F27" s="846"/>
      <c r="K27" s="831" t="s">
        <v>429</v>
      </c>
      <c r="L27" s="831" t="s">
        <v>430</v>
      </c>
      <c r="M27" s="831" t="s">
        <v>431</v>
      </c>
      <c r="N27" s="831" t="s">
        <v>432</v>
      </c>
      <c r="O27" s="831" t="s">
        <v>433</v>
      </c>
      <c r="P27" s="831" t="s">
        <v>434</v>
      </c>
      <c r="Q27" s="831" t="s">
        <v>435</v>
      </c>
    </row>
    <row r="28" spans="1:18" ht="14.25" customHeight="1" thickBot="1">
      <c r="A28" s="847" t="s">
        <v>269</v>
      </c>
      <c r="B28" s="842" t="s">
        <v>373</v>
      </c>
      <c r="C28" s="843"/>
      <c r="D28" s="843">
        <v>26610</v>
      </c>
      <c r="E28" s="843">
        <v>26370</v>
      </c>
      <c r="F28" s="844"/>
      <c r="K28" s="831" t="s">
        <v>436</v>
      </c>
      <c r="L28" s="831" t="s">
        <v>437</v>
      </c>
      <c r="M28" s="831" t="s">
        <v>438</v>
      </c>
      <c r="N28" s="831" t="s">
        <v>439</v>
      </c>
      <c r="O28" s="831" t="s">
        <v>440</v>
      </c>
      <c r="P28" s="831" t="s">
        <v>441</v>
      </c>
    </row>
    <row r="29" spans="1:18" ht="14.25" customHeight="1" thickBot="1">
      <c r="A29" s="837" t="s">
        <v>442</v>
      </c>
      <c r="B29" s="838" t="s">
        <v>443</v>
      </c>
      <c r="C29" s="838">
        <v>22090</v>
      </c>
      <c r="D29" s="838">
        <v>21860</v>
      </c>
      <c r="E29" s="838">
        <v>19380</v>
      </c>
      <c r="F29" s="839">
        <v>6610</v>
      </c>
      <c r="L29" s="831" t="s">
        <v>444</v>
      </c>
      <c r="M29" s="831" t="s">
        <v>445</v>
      </c>
      <c r="N29" s="831" t="s">
        <v>446</v>
      </c>
      <c r="O29" s="831" t="s">
        <v>447</v>
      </c>
      <c r="P29" s="831" t="s">
        <v>448</v>
      </c>
    </row>
    <row r="30" spans="1:18" ht="14.25" customHeight="1" thickBot="1">
      <c r="A30" s="837" t="s">
        <v>442</v>
      </c>
      <c r="B30" s="841" t="s">
        <v>189</v>
      </c>
      <c r="C30" s="831">
        <v>21380</v>
      </c>
      <c r="D30" s="831">
        <v>19930</v>
      </c>
      <c r="E30" s="831">
        <v>19860</v>
      </c>
      <c r="F30" s="845">
        <v>6010</v>
      </c>
      <c r="L30" s="831" t="s">
        <v>449</v>
      </c>
      <c r="M30" s="831" t="s">
        <v>450</v>
      </c>
      <c r="N30" s="831" t="s">
        <v>451</v>
      </c>
      <c r="O30" s="831" t="s">
        <v>1053</v>
      </c>
      <c r="P30" s="831" t="s">
        <v>452</v>
      </c>
    </row>
    <row r="31" spans="1:18" ht="14.25" customHeight="1" thickBot="1">
      <c r="A31" s="837" t="s">
        <v>442</v>
      </c>
      <c r="B31" s="841" t="s">
        <v>202</v>
      </c>
      <c r="C31" s="831">
        <v>21670</v>
      </c>
      <c r="D31" s="831">
        <v>20660</v>
      </c>
      <c r="E31" s="831">
        <v>20290</v>
      </c>
      <c r="F31" s="845">
        <v>5840</v>
      </c>
      <c r="L31" s="831" t="s">
        <v>453</v>
      </c>
      <c r="M31" s="831" t="s">
        <v>454</v>
      </c>
      <c r="N31" s="831" t="s">
        <v>455</v>
      </c>
      <c r="O31" s="831" t="s">
        <v>456</v>
      </c>
      <c r="P31" s="831" t="s">
        <v>457</v>
      </c>
    </row>
    <row r="32" spans="1:18" ht="14.25" customHeight="1" thickBot="1">
      <c r="A32" s="837" t="s">
        <v>442</v>
      </c>
      <c r="B32" s="841" t="s">
        <v>215</v>
      </c>
      <c r="C32" s="831">
        <v>22280</v>
      </c>
      <c r="D32" s="831">
        <v>21800</v>
      </c>
      <c r="E32" s="831">
        <v>17650</v>
      </c>
      <c r="F32" s="845">
        <v>4690</v>
      </c>
      <c r="L32" s="831" t="s">
        <v>458</v>
      </c>
      <c r="M32" s="831" t="s">
        <v>459</v>
      </c>
      <c r="N32" s="831" t="s">
        <v>460</v>
      </c>
      <c r="O32" s="831" t="s">
        <v>461</v>
      </c>
      <c r="P32" s="831" t="s">
        <v>462</v>
      </c>
    </row>
    <row r="33" spans="1:16" ht="14.25" customHeight="1" thickBot="1">
      <c r="A33" s="837" t="s">
        <v>442</v>
      </c>
      <c r="B33" s="841" t="s">
        <v>227</v>
      </c>
      <c r="C33" s="831">
        <v>22130</v>
      </c>
      <c r="D33" s="831">
        <v>20460</v>
      </c>
      <c r="E33" s="831">
        <v>18500</v>
      </c>
      <c r="F33" s="845">
        <v>5340</v>
      </c>
      <c r="L33" s="831" t="s">
        <v>463</v>
      </c>
      <c r="M33" s="831" t="s">
        <v>464</v>
      </c>
      <c r="N33" s="831" t="s">
        <v>465</v>
      </c>
      <c r="O33" s="831" t="s">
        <v>466</v>
      </c>
      <c r="P33" s="831" t="s">
        <v>467</v>
      </c>
    </row>
    <row r="34" spans="1:16" ht="14.25" customHeight="1" thickBot="1">
      <c r="A34" s="837" t="s">
        <v>442</v>
      </c>
      <c r="B34" s="841" t="s">
        <v>238</v>
      </c>
      <c r="C34" s="831">
        <v>22070</v>
      </c>
      <c r="D34" s="831">
        <v>20110</v>
      </c>
      <c r="E34" s="831">
        <v>18830</v>
      </c>
      <c r="F34" s="845">
        <v>5190</v>
      </c>
      <c r="L34" s="831" t="s">
        <v>468</v>
      </c>
      <c r="M34" s="831" t="s">
        <v>469</v>
      </c>
      <c r="N34" s="831" t="s">
        <v>470</v>
      </c>
      <c r="O34" s="831" t="s">
        <v>471</v>
      </c>
      <c r="P34" s="831" t="s">
        <v>472</v>
      </c>
    </row>
    <row r="35" spans="1:16" ht="14.25" customHeight="1" thickBot="1">
      <c r="A35" s="837" t="s">
        <v>442</v>
      </c>
      <c r="B35" s="841" t="s">
        <v>249</v>
      </c>
      <c r="C35" s="831">
        <v>22240</v>
      </c>
      <c r="D35" s="831">
        <v>19550</v>
      </c>
      <c r="E35" s="831">
        <v>19220</v>
      </c>
      <c r="F35" s="845">
        <v>5800</v>
      </c>
      <c r="L35" s="831" t="s">
        <v>473</v>
      </c>
      <c r="M35" s="831" t="s">
        <v>474</v>
      </c>
      <c r="N35" s="831" t="s">
        <v>475</v>
      </c>
      <c r="O35" s="831" t="s">
        <v>476</v>
      </c>
      <c r="P35" s="831" t="s">
        <v>477</v>
      </c>
    </row>
    <row r="36" spans="1:16" ht="14.25" customHeight="1" thickBot="1">
      <c r="A36" s="837" t="s">
        <v>442</v>
      </c>
      <c r="B36" s="841" t="s">
        <v>260</v>
      </c>
      <c r="C36" s="831">
        <v>19750</v>
      </c>
      <c r="D36" s="831">
        <v>19790</v>
      </c>
      <c r="E36" s="831">
        <v>18510</v>
      </c>
      <c r="F36" s="845">
        <v>6520</v>
      </c>
      <c r="M36" s="831" t="s">
        <v>478</v>
      </c>
      <c r="N36" s="831" t="s">
        <v>479</v>
      </c>
      <c r="O36" s="831" t="s">
        <v>480</v>
      </c>
      <c r="P36" s="831" t="s">
        <v>481</v>
      </c>
    </row>
    <row r="37" spans="1:16" ht="14.25" customHeight="1" thickBot="1">
      <c r="A37" s="837" t="s">
        <v>442</v>
      </c>
      <c r="B37" s="841" t="s">
        <v>272</v>
      </c>
      <c r="C37" s="831">
        <v>22380</v>
      </c>
      <c r="D37" s="831">
        <v>18530</v>
      </c>
      <c r="E37" s="831">
        <v>17930</v>
      </c>
      <c r="F37" s="845">
        <v>6270</v>
      </c>
      <c r="M37" s="831" t="s">
        <v>482</v>
      </c>
      <c r="N37" s="831" t="s">
        <v>483</v>
      </c>
      <c r="O37" s="831" t="s">
        <v>484</v>
      </c>
      <c r="P37" s="831" t="s">
        <v>485</v>
      </c>
    </row>
    <row r="38" spans="1:16" ht="14.25" customHeight="1" thickBot="1">
      <c r="A38" s="837" t="s">
        <v>442</v>
      </c>
      <c r="B38" s="841" t="s">
        <v>282</v>
      </c>
      <c r="C38" s="831">
        <v>20200</v>
      </c>
      <c r="D38" s="831">
        <v>20070</v>
      </c>
      <c r="E38" s="831">
        <v>19950</v>
      </c>
      <c r="F38" s="845"/>
      <c r="M38" s="831" t="s">
        <v>486</v>
      </c>
      <c r="N38" s="831" t="s">
        <v>487</v>
      </c>
      <c r="O38" s="831" t="s">
        <v>488</v>
      </c>
      <c r="P38" s="831" t="s">
        <v>489</v>
      </c>
    </row>
    <row r="39" spans="1:16" ht="14.25" customHeight="1" thickBot="1">
      <c r="A39" s="837" t="s">
        <v>442</v>
      </c>
      <c r="B39" s="841" t="s">
        <v>292</v>
      </c>
      <c r="C39" s="831">
        <v>19300</v>
      </c>
      <c r="D39" s="831">
        <v>20360</v>
      </c>
      <c r="E39" s="831">
        <v>20230</v>
      </c>
      <c r="F39" s="845"/>
      <c r="M39" s="831" t="s">
        <v>490</v>
      </c>
      <c r="N39" s="831" t="s">
        <v>491</v>
      </c>
      <c r="O39" s="831" t="s">
        <v>492</v>
      </c>
      <c r="P39" s="831" t="s">
        <v>493</v>
      </c>
    </row>
    <row r="40" spans="1:16" ht="14.25" customHeight="1" thickBot="1">
      <c r="A40" s="837" t="s">
        <v>442</v>
      </c>
      <c r="B40" s="841" t="s">
        <v>302</v>
      </c>
      <c r="C40" s="831">
        <v>20210</v>
      </c>
      <c r="D40" s="831">
        <v>19060</v>
      </c>
      <c r="E40" s="831">
        <v>18890</v>
      </c>
      <c r="F40" s="845"/>
      <c r="M40" s="831" t="s">
        <v>494</v>
      </c>
      <c r="N40" s="831" t="s">
        <v>495</v>
      </c>
      <c r="O40" s="831" t="s">
        <v>496</v>
      </c>
      <c r="P40" s="831" t="s">
        <v>497</v>
      </c>
    </row>
    <row r="41" spans="1:16" ht="14.25" customHeight="1" thickBot="1">
      <c r="A41" s="837" t="s">
        <v>442</v>
      </c>
      <c r="B41" s="841" t="s">
        <v>312</v>
      </c>
      <c r="C41" s="831">
        <v>20560</v>
      </c>
      <c r="D41" s="831">
        <v>21040</v>
      </c>
      <c r="E41" s="831">
        <v>20740</v>
      </c>
      <c r="F41" s="845"/>
      <c r="M41" s="841" t="s">
        <v>498</v>
      </c>
      <c r="N41" s="841" t="s">
        <v>499</v>
      </c>
      <c r="P41" s="841" t="s">
        <v>500</v>
      </c>
    </row>
    <row r="42" spans="1:16" ht="14.25" customHeight="1" thickBot="1">
      <c r="A42" s="837" t="s">
        <v>442</v>
      </c>
      <c r="B42" s="841" t="s">
        <v>323</v>
      </c>
      <c r="C42" s="831">
        <v>19280</v>
      </c>
      <c r="D42" s="831">
        <v>22940</v>
      </c>
      <c r="E42" s="831">
        <v>22500</v>
      </c>
      <c r="F42" s="845"/>
      <c r="M42" s="831" t="s">
        <v>501</v>
      </c>
      <c r="N42" s="831" t="s">
        <v>502</v>
      </c>
      <c r="P42" s="831" t="s">
        <v>503</v>
      </c>
    </row>
    <row r="43" spans="1:16" ht="14.25" customHeight="1" thickBot="1">
      <c r="A43" s="837" t="s">
        <v>442</v>
      </c>
      <c r="B43" s="841" t="s">
        <v>334</v>
      </c>
      <c r="C43" s="831">
        <v>21520</v>
      </c>
      <c r="D43" s="831">
        <v>19230</v>
      </c>
      <c r="E43" s="831">
        <v>18540</v>
      </c>
      <c r="F43" s="845"/>
      <c r="M43" s="831" t="s">
        <v>504</v>
      </c>
      <c r="N43" s="831" t="s">
        <v>505</v>
      </c>
      <c r="P43" s="831" t="s">
        <v>506</v>
      </c>
    </row>
    <row r="44" spans="1:16" ht="14.25" customHeight="1" thickBot="1">
      <c r="A44" s="837" t="s">
        <v>442</v>
      </c>
      <c r="B44" s="841" t="s">
        <v>344</v>
      </c>
      <c r="C44" s="831">
        <v>23260</v>
      </c>
      <c r="D44" s="831">
        <v>21180</v>
      </c>
      <c r="E44" s="831">
        <v>20730</v>
      </c>
      <c r="F44" s="845"/>
      <c r="M44" s="831" t="s">
        <v>507</v>
      </c>
      <c r="N44" s="831" t="s">
        <v>508</v>
      </c>
      <c r="P44" s="831" t="s">
        <v>509</v>
      </c>
    </row>
    <row r="45" spans="1:16" ht="14.25" customHeight="1" thickBot="1">
      <c r="A45" s="837" t="s">
        <v>442</v>
      </c>
      <c r="B45" s="841" t="s">
        <v>354</v>
      </c>
      <c r="C45" s="831">
        <v>19610</v>
      </c>
      <c r="D45" s="831">
        <v>18090</v>
      </c>
      <c r="E45" s="831">
        <v>17970</v>
      </c>
      <c r="F45" s="845"/>
      <c r="M45" s="831" t="s">
        <v>510</v>
      </c>
      <c r="N45" s="831" t="s">
        <v>511</v>
      </c>
      <c r="P45" s="831" t="s">
        <v>512</v>
      </c>
    </row>
    <row r="46" spans="1:16" ht="14.25" customHeight="1" thickBot="1">
      <c r="A46" s="837" t="s">
        <v>442</v>
      </c>
      <c r="B46" s="841" t="s">
        <v>364</v>
      </c>
      <c r="C46" s="831">
        <v>21660</v>
      </c>
      <c r="D46" s="831">
        <v>19190</v>
      </c>
      <c r="E46" s="831">
        <v>19790</v>
      </c>
      <c r="F46" s="845"/>
      <c r="M46" s="831" t="s">
        <v>513</v>
      </c>
      <c r="N46" s="831" t="s">
        <v>514</v>
      </c>
      <c r="P46" s="831" t="s">
        <v>515</v>
      </c>
    </row>
    <row r="47" spans="1:16" ht="14.25" customHeight="1" thickBot="1">
      <c r="A47" s="837" t="s">
        <v>442</v>
      </c>
      <c r="B47" s="841" t="s">
        <v>374</v>
      </c>
      <c r="C47" s="831">
        <v>18220</v>
      </c>
      <c r="D47" s="831"/>
      <c r="E47" s="831">
        <v>17220</v>
      </c>
      <c r="F47" s="845"/>
      <c r="M47" s="831" t="s">
        <v>516</v>
      </c>
      <c r="N47" s="831" t="s">
        <v>517</v>
      </c>
    </row>
    <row r="48" spans="1:16" ht="14.25" customHeight="1" thickBot="1">
      <c r="A48" s="837" t="s">
        <v>442</v>
      </c>
      <c r="B48" s="842" t="s">
        <v>383</v>
      </c>
      <c r="C48" s="843">
        <v>19430</v>
      </c>
      <c r="D48" s="843"/>
      <c r="E48" s="843">
        <v>17830</v>
      </c>
      <c r="F48" s="848"/>
      <c r="M48" s="831" t="s">
        <v>518</v>
      </c>
      <c r="N48" s="831" t="s">
        <v>519</v>
      </c>
    </row>
    <row r="49" spans="1:14" ht="14.25" customHeight="1" thickBot="1">
      <c r="A49" s="837" t="s">
        <v>137</v>
      </c>
      <c r="B49" s="838" t="s">
        <v>520</v>
      </c>
      <c r="C49" s="838">
        <v>17090</v>
      </c>
      <c r="D49" s="838">
        <v>16950</v>
      </c>
      <c r="E49" s="838">
        <v>16310</v>
      </c>
      <c r="F49" s="839">
        <v>4540</v>
      </c>
      <c r="M49" s="831" t="s">
        <v>521</v>
      </c>
      <c r="N49" s="831" t="s">
        <v>522</v>
      </c>
    </row>
    <row r="50" spans="1:14" ht="14.25" customHeight="1" thickBot="1">
      <c r="A50" s="837" t="s">
        <v>137</v>
      </c>
      <c r="B50" s="831" t="s">
        <v>190</v>
      </c>
      <c r="C50" s="831">
        <v>19040</v>
      </c>
      <c r="D50" s="831">
        <v>16960</v>
      </c>
      <c r="E50" s="831">
        <v>14800</v>
      </c>
      <c r="F50" s="845">
        <v>3940</v>
      </c>
    </row>
    <row r="51" spans="1:14" ht="14.25" customHeight="1" thickBot="1">
      <c r="A51" s="837" t="s">
        <v>137</v>
      </c>
      <c r="B51" s="831" t="s">
        <v>203</v>
      </c>
      <c r="C51" s="831">
        <v>17040</v>
      </c>
      <c r="D51" s="831">
        <v>16930</v>
      </c>
      <c r="E51" s="831">
        <v>15030</v>
      </c>
      <c r="F51" s="845">
        <v>4120</v>
      </c>
    </row>
    <row r="52" spans="1:14" ht="14.25" customHeight="1" thickBot="1">
      <c r="A52" s="837" t="s">
        <v>137</v>
      </c>
      <c r="B52" s="831" t="s">
        <v>216</v>
      </c>
      <c r="C52" s="831">
        <v>17110</v>
      </c>
      <c r="D52" s="831">
        <v>17750</v>
      </c>
      <c r="E52" s="831">
        <v>17310</v>
      </c>
      <c r="F52" s="845">
        <v>3220</v>
      </c>
    </row>
    <row r="53" spans="1:14" ht="14.25" customHeight="1" thickBot="1">
      <c r="A53" s="837" t="s">
        <v>137</v>
      </c>
      <c r="B53" s="831" t="s">
        <v>228</v>
      </c>
      <c r="C53" s="831">
        <v>17810</v>
      </c>
      <c r="D53" s="831">
        <v>17260</v>
      </c>
      <c r="E53" s="831">
        <v>17090</v>
      </c>
      <c r="F53" s="845">
        <v>3520</v>
      </c>
    </row>
    <row r="54" spans="1:14" ht="14.25" customHeight="1" thickBot="1">
      <c r="A54" s="837" t="s">
        <v>137</v>
      </c>
      <c r="B54" s="831" t="s">
        <v>239</v>
      </c>
      <c r="C54" s="831">
        <v>17410</v>
      </c>
      <c r="D54" s="831">
        <v>16780</v>
      </c>
      <c r="E54" s="831">
        <v>16370</v>
      </c>
      <c r="F54" s="845">
        <v>3410</v>
      </c>
    </row>
    <row r="55" spans="1:14" ht="14.25" customHeight="1" thickBot="1">
      <c r="A55" s="837" t="s">
        <v>137</v>
      </c>
      <c r="B55" s="831" t="s">
        <v>250</v>
      </c>
      <c r="C55" s="831">
        <v>16930</v>
      </c>
      <c r="D55" s="831">
        <v>14720</v>
      </c>
      <c r="E55" s="831">
        <v>15000</v>
      </c>
      <c r="F55" s="845">
        <v>3710</v>
      </c>
    </row>
    <row r="56" spans="1:14" ht="14.25" customHeight="1" thickBot="1">
      <c r="A56" s="837" t="s">
        <v>137</v>
      </c>
      <c r="B56" s="831" t="s">
        <v>261</v>
      </c>
      <c r="C56" s="831">
        <v>14930</v>
      </c>
      <c r="D56" s="831">
        <v>15850</v>
      </c>
      <c r="E56" s="831">
        <v>14320</v>
      </c>
      <c r="F56" s="845">
        <v>3960</v>
      </c>
    </row>
    <row r="57" spans="1:14" ht="14.25" customHeight="1" thickBot="1">
      <c r="A57" s="837" t="s">
        <v>137</v>
      </c>
      <c r="B57" s="831" t="s">
        <v>273</v>
      </c>
      <c r="C57" s="831">
        <v>16160</v>
      </c>
      <c r="D57" s="831">
        <v>16190</v>
      </c>
      <c r="E57" s="831">
        <v>15650</v>
      </c>
      <c r="F57" s="845">
        <v>4200</v>
      </c>
    </row>
    <row r="58" spans="1:14" ht="14.25" customHeight="1" thickBot="1">
      <c r="A58" s="837" t="s">
        <v>137</v>
      </c>
      <c r="B58" s="831" t="s">
        <v>283</v>
      </c>
      <c r="C58" s="831">
        <v>16360</v>
      </c>
      <c r="D58" s="831">
        <v>14050</v>
      </c>
      <c r="E58" s="831">
        <v>16070</v>
      </c>
      <c r="F58" s="845">
        <v>3990</v>
      </c>
    </row>
    <row r="59" spans="1:14" ht="14.25" customHeight="1" thickBot="1">
      <c r="A59" s="837" t="s">
        <v>137</v>
      </c>
      <c r="B59" s="831" t="s">
        <v>293</v>
      </c>
      <c r="C59" s="831">
        <v>14160</v>
      </c>
      <c r="D59" s="831">
        <v>16620</v>
      </c>
      <c r="E59" s="831">
        <v>13940</v>
      </c>
      <c r="F59" s="845">
        <v>4260</v>
      </c>
    </row>
    <row r="60" spans="1:14" ht="14.25" customHeight="1" thickBot="1">
      <c r="A60" s="837" t="s">
        <v>137</v>
      </c>
      <c r="B60" s="831" t="s">
        <v>303</v>
      </c>
      <c r="C60" s="831">
        <v>16750</v>
      </c>
      <c r="D60" s="831">
        <v>13910</v>
      </c>
      <c r="E60" s="831">
        <v>16550</v>
      </c>
      <c r="F60" s="845">
        <v>4550</v>
      </c>
    </row>
    <row r="61" spans="1:14" ht="14.25" customHeight="1" thickBot="1">
      <c r="A61" s="837" t="s">
        <v>137</v>
      </c>
      <c r="B61" s="831" t="s">
        <v>313</v>
      </c>
      <c r="C61" s="831">
        <v>14000</v>
      </c>
      <c r="D61" s="831">
        <v>14550</v>
      </c>
      <c r="E61" s="831">
        <v>13860</v>
      </c>
      <c r="F61" s="849"/>
    </row>
    <row r="62" spans="1:14" ht="14.25" customHeight="1" thickBot="1">
      <c r="A62" s="837" t="s">
        <v>137</v>
      </c>
      <c r="B62" s="831" t="s">
        <v>324</v>
      </c>
      <c r="C62" s="831">
        <v>14660</v>
      </c>
      <c r="D62" s="831">
        <v>17450</v>
      </c>
      <c r="E62" s="831">
        <v>14470</v>
      </c>
      <c r="F62" s="849"/>
    </row>
    <row r="63" spans="1:14" ht="14.25" customHeight="1" thickBot="1">
      <c r="A63" s="837" t="s">
        <v>137</v>
      </c>
      <c r="B63" s="831" t="s">
        <v>335</v>
      </c>
      <c r="C63" s="831">
        <v>17610</v>
      </c>
      <c r="D63" s="831">
        <v>16500</v>
      </c>
      <c r="E63" s="831">
        <v>17330</v>
      </c>
      <c r="F63" s="849"/>
    </row>
    <row r="64" spans="1:14" ht="14.25" customHeight="1" thickBot="1">
      <c r="A64" s="837" t="s">
        <v>137</v>
      </c>
      <c r="B64" s="831" t="s">
        <v>345</v>
      </c>
      <c r="C64" s="831">
        <v>16590</v>
      </c>
      <c r="D64" s="831">
        <v>15130</v>
      </c>
      <c r="E64" s="831">
        <v>16420</v>
      </c>
      <c r="F64" s="849"/>
    </row>
    <row r="65" spans="1:6" s="825" customFormat="1" ht="14.25" customHeight="1" thickBot="1">
      <c r="A65" s="837" t="s">
        <v>137</v>
      </c>
      <c r="B65" s="831" t="s">
        <v>355</v>
      </c>
      <c r="C65" s="831">
        <v>15220</v>
      </c>
      <c r="D65" s="831">
        <v>14660</v>
      </c>
      <c r="E65" s="831">
        <v>15060</v>
      </c>
      <c r="F65" s="845"/>
    </row>
    <row r="66" spans="1:6" s="825" customFormat="1" ht="14.25" customHeight="1" thickBot="1">
      <c r="A66" s="837" t="s">
        <v>137</v>
      </c>
      <c r="B66" s="831" t="s">
        <v>365</v>
      </c>
      <c r="C66" s="831">
        <v>14720</v>
      </c>
      <c r="D66" s="831">
        <v>15970</v>
      </c>
      <c r="E66" s="831">
        <v>14610</v>
      </c>
      <c r="F66" s="845"/>
    </row>
    <row r="67" spans="1:6" s="825" customFormat="1" ht="14.25" customHeight="1" thickBot="1">
      <c r="A67" s="837" t="s">
        <v>137</v>
      </c>
      <c r="B67" s="831" t="s">
        <v>375</v>
      </c>
      <c r="C67" s="831">
        <v>16080</v>
      </c>
      <c r="D67" s="831">
        <v>14840</v>
      </c>
      <c r="E67" s="831">
        <v>15630</v>
      </c>
      <c r="F67" s="845"/>
    </row>
    <row r="68" spans="1:6" s="825" customFormat="1" ht="14.25" customHeight="1" thickBot="1">
      <c r="A68" s="837" t="s">
        <v>137</v>
      </c>
      <c r="B68" s="831" t="s">
        <v>384</v>
      </c>
      <c r="C68" s="831">
        <v>14940</v>
      </c>
      <c r="D68" s="831">
        <v>18000</v>
      </c>
      <c r="E68" s="831">
        <v>14040</v>
      </c>
      <c r="F68" s="845"/>
    </row>
    <row r="69" spans="1:6" s="825" customFormat="1" ht="14.25" customHeight="1" thickBot="1">
      <c r="A69" s="837" t="s">
        <v>137</v>
      </c>
      <c r="B69" s="831" t="s">
        <v>393</v>
      </c>
      <c r="C69" s="831">
        <v>18810</v>
      </c>
      <c r="D69" s="831">
        <v>15100</v>
      </c>
      <c r="E69" s="831">
        <v>14710</v>
      </c>
      <c r="F69" s="845"/>
    </row>
    <row r="70" spans="1:6" s="825" customFormat="1" ht="14.25" customHeight="1" thickBot="1">
      <c r="A70" s="837" t="s">
        <v>137</v>
      </c>
      <c r="B70" s="831" t="s">
        <v>401</v>
      </c>
      <c r="C70" s="831">
        <v>18270</v>
      </c>
      <c r="D70" s="831"/>
      <c r="E70" s="831"/>
      <c r="F70" s="845"/>
    </row>
    <row r="71" spans="1:6" s="825" customFormat="1" ht="14.25" customHeight="1" thickBot="1">
      <c r="A71" s="837" t="s">
        <v>137</v>
      </c>
      <c r="B71" s="831" t="s">
        <v>408</v>
      </c>
      <c r="C71" s="831">
        <v>15230</v>
      </c>
      <c r="D71" s="831"/>
      <c r="E71" s="831"/>
      <c r="F71" s="845"/>
    </row>
    <row r="72" spans="1:6" s="825" customFormat="1" ht="14.25" customHeight="1" thickBot="1">
      <c r="A72" s="837" t="s">
        <v>137</v>
      </c>
      <c r="B72" s="831" t="s">
        <v>415</v>
      </c>
      <c r="C72" s="831"/>
      <c r="D72" s="831"/>
      <c r="E72" s="831"/>
      <c r="F72" s="845">
        <v>4120</v>
      </c>
    </row>
    <row r="73" spans="1:6" s="825" customFormat="1" ht="14.25" customHeight="1" thickBot="1">
      <c r="A73" s="837" t="s">
        <v>137</v>
      </c>
      <c r="B73" s="831" t="s">
        <v>422</v>
      </c>
      <c r="C73" s="831"/>
      <c r="D73" s="831"/>
      <c r="E73" s="831"/>
      <c r="F73" s="845">
        <v>3930</v>
      </c>
    </row>
    <row r="74" spans="1:6" s="825" customFormat="1" ht="14.25" customHeight="1" thickBot="1">
      <c r="A74" s="837" t="s">
        <v>137</v>
      </c>
      <c r="B74" s="831" t="s">
        <v>429</v>
      </c>
      <c r="C74" s="831"/>
      <c r="D74" s="831"/>
      <c r="E74" s="831"/>
      <c r="F74" s="845">
        <v>4060</v>
      </c>
    </row>
    <row r="75" spans="1:6" s="825" customFormat="1" ht="14.25" customHeight="1" thickBot="1">
      <c r="A75" s="837" t="s">
        <v>137</v>
      </c>
      <c r="B75" s="843" t="s">
        <v>436</v>
      </c>
      <c r="C75" s="843"/>
      <c r="D75" s="843"/>
      <c r="E75" s="843"/>
      <c r="F75" s="848">
        <v>3750</v>
      </c>
    </row>
    <row r="76" spans="1:6" s="825" customFormat="1" ht="14.25" customHeight="1" thickBot="1">
      <c r="A76" s="837" t="s">
        <v>523</v>
      </c>
      <c r="B76" s="838" t="s">
        <v>524</v>
      </c>
      <c r="C76" s="838">
        <v>14690</v>
      </c>
      <c r="D76" s="838">
        <v>14640</v>
      </c>
      <c r="E76" s="838">
        <v>14590</v>
      </c>
      <c r="F76" s="839">
        <v>3060</v>
      </c>
    </row>
    <row r="77" spans="1:6" s="825" customFormat="1" ht="14.25" customHeight="1" thickBot="1">
      <c r="A77" s="837" t="s">
        <v>523</v>
      </c>
      <c r="B77" s="831" t="s">
        <v>191</v>
      </c>
      <c r="C77" s="831">
        <v>12550</v>
      </c>
      <c r="D77" s="831">
        <v>12480</v>
      </c>
      <c r="E77" s="831">
        <v>12450</v>
      </c>
      <c r="F77" s="845">
        <v>2590</v>
      </c>
    </row>
    <row r="78" spans="1:6" s="825" customFormat="1" ht="14.25" customHeight="1" thickBot="1">
      <c r="A78" s="837" t="s">
        <v>523</v>
      </c>
      <c r="B78" s="831" t="s">
        <v>204</v>
      </c>
      <c r="C78" s="831">
        <v>14360</v>
      </c>
      <c r="D78" s="831">
        <v>14320</v>
      </c>
      <c r="E78" s="831">
        <v>12510</v>
      </c>
      <c r="F78" s="845">
        <v>2700</v>
      </c>
    </row>
    <row r="79" spans="1:6" s="825" customFormat="1" ht="14.25" customHeight="1" thickBot="1">
      <c r="A79" s="837" t="s">
        <v>523</v>
      </c>
      <c r="B79" s="831" t="s">
        <v>217</v>
      </c>
      <c r="C79" s="831">
        <v>12590</v>
      </c>
      <c r="D79" s="831">
        <v>12540</v>
      </c>
      <c r="E79" s="831">
        <v>12350</v>
      </c>
      <c r="F79" s="845">
        <v>2740</v>
      </c>
    </row>
    <row r="80" spans="1:6" s="825" customFormat="1" ht="14.25" customHeight="1" thickBot="1">
      <c r="A80" s="837" t="s">
        <v>523</v>
      </c>
      <c r="B80" s="831" t="s">
        <v>229</v>
      </c>
      <c r="C80" s="831">
        <v>12450</v>
      </c>
      <c r="D80" s="831">
        <v>12370</v>
      </c>
      <c r="E80" s="831">
        <v>10790</v>
      </c>
      <c r="F80" s="845">
        <v>2290</v>
      </c>
    </row>
    <row r="81" spans="1:6" s="825" customFormat="1" ht="14.25" customHeight="1" thickBot="1">
      <c r="A81" s="837" t="s">
        <v>523</v>
      </c>
      <c r="B81" s="831" t="s">
        <v>240</v>
      </c>
      <c r="C81" s="831">
        <v>14210</v>
      </c>
      <c r="D81" s="831">
        <v>14150</v>
      </c>
      <c r="E81" s="831">
        <v>12730</v>
      </c>
      <c r="F81" s="845">
        <v>2240</v>
      </c>
    </row>
    <row r="82" spans="1:6" s="825" customFormat="1" ht="14.25" customHeight="1" thickBot="1">
      <c r="A82" s="837" t="s">
        <v>523</v>
      </c>
      <c r="B82" s="831" t="s">
        <v>251</v>
      </c>
      <c r="C82" s="831">
        <v>10860</v>
      </c>
      <c r="D82" s="831">
        <v>10820</v>
      </c>
      <c r="E82" s="831">
        <v>14720</v>
      </c>
      <c r="F82" s="845">
        <v>2490</v>
      </c>
    </row>
    <row r="83" spans="1:6" s="825" customFormat="1" ht="14.25" customHeight="1" thickBot="1">
      <c r="A83" s="837" t="s">
        <v>523</v>
      </c>
      <c r="B83" s="831" t="s">
        <v>262</v>
      </c>
      <c r="C83" s="831">
        <v>12810</v>
      </c>
      <c r="D83" s="831">
        <v>12760</v>
      </c>
      <c r="E83" s="831">
        <v>14830</v>
      </c>
      <c r="F83" s="845">
        <v>2450</v>
      </c>
    </row>
    <row r="84" spans="1:6" s="825" customFormat="1" ht="14.25" customHeight="1" thickBot="1">
      <c r="A84" s="837" t="s">
        <v>523</v>
      </c>
      <c r="B84" s="831" t="s">
        <v>274</v>
      </c>
      <c r="C84" s="831">
        <v>14950</v>
      </c>
      <c r="D84" s="831">
        <v>14810</v>
      </c>
      <c r="E84" s="831">
        <v>12590</v>
      </c>
      <c r="F84" s="845">
        <v>2540</v>
      </c>
    </row>
    <row r="85" spans="1:6" s="825" customFormat="1" ht="14.25" customHeight="1" thickBot="1">
      <c r="A85" s="837" t="s">
        <v>523</v>
      </c>
      <c r="B85" s="831" t="s">
        <v>284</v>
      </c>
      <c r="C85" s="831">
        <v>14960</v>
      </c>
      <c r="D85" s="831">
        <v>14890</v>
      </c>
      <c r="E85" s="831">
        <v>12840</v>
      </c>
      <c r="F85" s="845">
        <v>2840</v>
      </c>
    </row>
    <row r="86" spans="1:6" s="825" customFormat="1" ht="14.25" customHeight="1" thickBot="1">
      <c r="A86" s="837" t="s">
        <v>523</v>
      </c>
      <c r="B86" s="831" t="s">
        <v>294</v>
      </c>
      <c r="C86" s="831">
        <v>12730</v>
      </c>
      <c r="D86" s="831">
        <v>12660</v>
      </c>
      <c r="E86" s="831">
        <v>13310</v>
      </c>
      <c r="F86" s="845">
        <v>3140</v>
      </c>
    </row>
    <row r="87" spans="1:6" s="825" customFormat="1" ht="14.25" customHeight="1" thickBot="1">
      <c r="A87" s="837" t="s">
        <v>523</v>
      </c>
      <c r="B87" s="831" t="s">
        <v>304</v>
      </c>
      <c r="C87" s="831">
        <v>12940</v>
      </c>
      <c r="D87" s="831">
        <v>12890</v>
      </c>
      <c r="E87" s="831">
        <v>11580</v>
      </c>
      <c r="F87" s="849"/>
    </row>
    <row r="88" spans="1:6" s="825" customFormat="1" ht="14.25" customHeight="1" thickBot="1">
      <c r="A88" s="837" t="s">
        <v>523</v>
      </c>
      <c r="B88" s="831" t="s">
        <v>314</v>
      </c>
      <c r="C88" s="831">
        <v>13430</v>
      </c>
      <c r="D88" s="831">
        <v>13360</v>
      </c>
      <c r="E88" s="831">
        <v>12790</v>
      </c>
      <c r="F88" s="849"/>
    </row>
    <row r="89" spans="1:6" s="825" customFormat="1" ht="14.25" customHeight="1" thickBot="1">
      <c r="A89" s="837" t="s">
        <v>523</v>
      </c>
      <c r="B89" s="831" t="s">
        <v>325</v>
      </c>
      <c r="C89" s="831">
        <v>11680</v>
      </c>
      <c r="D89" s="831">
        <v>11630</v>
      </c>
      <c r="E89" s="831">
        <v>11320</v>
      </c>
      <c r="F89" s="849"/>
    </row>
    <row r="90" spans="1:6" s="825" customFormat="1" ht="14.25" customHeight="1" thickBot="1">
      <c r="A90" s="837" t="s">
        <v>523</v>
      </c>
      <c r="B90" s="831" t="s">
        <v>336</v>
      </c>
      <c r="C90" s="831">
        <v>12890</v>
      </c>
      <c r="D90" s="831">
        <v>12820</v>
      </c>
      <c r="E90" s="831">
        <v>12710</v>
      </c>
      <c r="F90" s="849"/>
    </row>
    <row r="91" spans="1:6" s="825" customFormat="1" ht="14.25" customHeight="1" thickBot="1">
      <c r="A91" s="837" t="s">
        <v>523</v>
      </c>
      <c r="B91" s="831" t="s">
        <v>346</v>
      </c>
      <c r="C91" s="831">
        <v>11410</v>
      </c>
      <c r="D91" s="831">
        <v>11360</v>
      </c>
      <c r="E91" s="831">
        <v>12670</v>
      </c>
      <c r="F91" s="849"/>
    </row>
    <row r="92" spans="1:6" s="825" customFormat="1" ht="14.25" customHeight="1" thickBot="1">
      <c r="A92" s="837" t="s">
        <v>523</v>
      </c>
      <c r="B92" s="831" t="s">
        <v>356</v>
      </c>
      <c r="C92" s="831">
        <v>12770</v>
      </c>
      <c r="D92" s="831">
        <v>12740</v>
      </c>
      <c r="E92" s="831">
        <v>11970</v>
      </c>
      <c r="F92" s="849"/>
    </row>
    <row r="93" spans="1:6" s="825" customFormat="1" ht="14.25" customHeight="1" thickBot="1">
      <c r="A93" s="837" t="s">
        <v>523</v>
      </c>
      <c r="B93" s="831" t="s">
        <v>366</v>
      </c>
      <c r="C93" s="831">
        <v>12740</v>
      </c>
      <c r="D93" s="831">
        <v>12700</v>
      </c>
      <c r="E93" s="831">
        <v>12540</v>
      </c>
      <c r="F93" s="849"/>
    </row>
    <row r="94" spans="1:6" s="825" customFormat="1" ht="14.25" customHeight="1" thickBot="1">
      <c r="A94" s="837" t="s">
        <v>523</v>
      </c>
      <c r="B94" s="831" t="s">
        <v>376</v>
      </c>
      <c r="C94" s="831">
        <v>12020</v>
      </c>
      <c r="D94" s="831">
        <v>11990</v>
      </c>
      <c r="E94" s="831">
        <v>13110</v>
      </c>
      <c r="F94" s="849"/>
    </row>
    <row r="95" spans="1:6" s="825" customFormat="1" ht="14.25" customHeight="1" thickBot="1">
      <c r="A95" s="837" t="s">
        <v>523</v>
      </c>
      <c r="B95" s="831" t="s">
        <v>385</v>
      </c>
      <c r="C95" s="831">
        <v>12620</v>
      </c>
      <c r="D95" s="831">
        <v>12580</v>
      </c>
      <c r="E95" s="831">
        <v>13160</v>
      </c>
      <c r="F95" s="845"/>
    </row>
    <row r="96" spans="1:6" s="825" customFormat="1" ht="14.25" customHeight="1" thickBot="1">
      <c r="A96" s="837" t="s">
        <v>523</v>
      </c>
      <c r="B96" s="831" t="s">
        <v>394</v>
      </c>
      <c r="C96" s="831">
        <v>13200</v>
      </c>
      <c r="D96" s="831">
        <v>13150</v>
      </c>
      <c r="E96" s="831">
        <v>12900</v>
      </c>
      <c r="F96" s="845"/>
    </row>
    <row r="97" spans="1:6" s="825" customFormat="1" ht="14.25" customHeight="1" thickBot="1">
      <c r="A97" s="837" t="s">
        <v>523</v>
      </c>
      <c r="B97" s="831" t="s">
        <v>402</v>
      </c>
      <c r="C97" s="831">
        <v>13270</v>
      </c>
      <c r="D97" s="831">
        <v>13210</v>
      </c>
      <c r="E97" s="831">
        <v>11080</v>
      </c>
      <c r="F97" s="845"/>
    </row>
    <row r="98" spans="1:6" s="825" customFormat="1" ht="14.25" customHeight="1" thickBot="1">
      <c r="A98" s="837" t="s">
        <v>523</v>
      </c>
      <c r="B98" s="831" t="s">
        <v>409</v>
      </c>
      <c r="C98" s="831">
        <v>13010</v>
      </c>
      <c r="D98" s="831">
        <v>12930</v>
      </c>
      <c r="E98" s="831">
        <v>12840</v>
      </c>
      <c r="F98" s="845"/>
    </row>
    <row r="99" spans="1:6" s="825" customFormat="1" ht="14.25" customHeight="1" thickBot="1">
      <c r="A99" s="837" t="s">
        <v>523</v>
      </c>
      <c r="B99" s="831" t="s">
        <v>416</v>
      </c>
      <c r="C99" s="831">
        <v>11190</v>
      </c>
      <c r="D99" s="831">
        <v>11130</v>
      </c>
      <c r="E99" s="831"/>
      <c r="F99" s="845"/>
    </row>
    <row r="100" spans="1:6" s="825" customFormat="1" ht="14.25" customHeight="1" thickBot="1">
      <c r="A100" s="837" t="s">
        <v>523</v>
      </c>
      <c r="B100" s="831" t="s">
        <v>423</v>
      </c>
      <c r="C100" s="831">
        <v>14280</v>
      </c>
      <c r="D100" s="831">
        <v>14180</v>
      </c>
      <c r="E100" s="831"/>
      <c r="F100" s="845"/>
    </row>
    <row r="101" spans="1:6" s="825" customFormat="1" ht="14.25" customHeight="1" thickBot="1">
      <c r="A101" s="837" t="s">
        <v>523</v>
      </c>
      <c r="B101" s="831" t="s">
        <v>430</v>
      </c>
      <c r="C101" s="831">
        <v>12960</v>
      </c>
      <c r="D101" s="831">
        <v>12890</v>
      </c>
      <c r="E101" s="831"/>
      <c r="F101" s="845"/>
    </row>
    <row r="102" spans="1:6" s="825" customFormat="1" ht="14.25" customHeight="1" thickBot="1">
      <c r="A102" s="837" t="s">
        <v>523</v>
      </c>
      <c r="B102" s="831" t="s">
        <v>437</v>
      </c>
      <c r="C102" s="831"/>
      <c r="D102" s="831"/>
      <c r="E102" s="831"/>
      <c r="F102" s="845">
        <v>3100</v>
      </c>
    </row>
    <row r="103" spans="1:6" s="825" customFormat="1" ht="14.25" customHeight="1" thickBot="1">
      <c r="A103" s="837" t="s">
        <v>523</v>
      </c>
      <c r="B103" s="831" t="s">
        <v>444</v>
      </c>
      <c r="C103" s="831"/>
      <c r="D103" s="831"/>
      <c r="E103" s="831"/>
      <c r="F103" s="845">
        <v>2320</v>
      </c>
    </row>
    <row r="104" spans="1:6" s="825" customFormat="1" ht="14.25" customHeight="1" thickBot="1">
      <c r="A104" s="837" t="s">
        <v>523</v>
      </c>
      <c r="B104" s="831" t="s">
        <v>449</v>
      </c>
      <c r="C104" s="831"/>
      <c r="D104" s="831"/>
      <c r="E104" s="831"/>
      <c r="F104" s="845">
        <v>2320</v>
      </c>
    </row>
    <row r="105" spans="1:6" s="825" customFormat="1" ht="14.25" customHeight="1" thickBot="1">
      <c r="A105" s="837" t="s">
        <v>523</v>
      </c>
      <c r="B105" s="831" t="s">
        <v>453</v>
      </c>
      <c r="C105" s="831"/>
      <c r="D105" s="831"/>
      <c r="E105" s="831"/>
      <c r="F105" s="845">
        <v>2320</v>
      </c>
    </row>
    <row r="106" spans="1:6" s="825" customFormat="1" ht="14.25" customHeight="1" thickBot="1">
      <c r="A106" s="837" t="s">
        <v>523</v>
      </c>
      <c r="B106" s="831" t="s">
        <v>458</v>
      </c>
      <c r="C106" s="831"/>
      <c r="D106" s="831"/>
      <c r="E106" s="831"/>
      <c r="F106" s="845">
        <v>2320</v>
      </c>
    </row>
    <row r="107" spans="1:6" s="825" customFormat="1" ht="14.25" customHeight="1" thickBot="1">
      <c r="A107" s="837" t="s">
        <v>523</v>
      </c>
      <c r="B107" s="831" t="s">
        <v>463</v>
      </c>
      <c r="C107" s="831"/>
      <c r="D107" s="831"/>
      <c r="E107" s="831"/>
      <c r="F107" s="845">
        <v>2280</v>
      </c>
    </row>
    <row r="108" spans="1:6" s="825" customFormat="1" ht="14.25" customHeight="1" thickBot="1">
      <c r="A108" s="837" t="s">
        <v>523</v>
      </c>
      <c r="B108" s="831" t="s">
        <v>468</v>
      </c>
      <c r="C108" s="831"/>
      <c r="D108" s="831"/>
      <c r="E108" s="831"/>
      <c r="F108" s="845">
        <v>2280</v>
      </c>
    </row>
    <row r="109" spans="1:6" s="825" customFormat="1" ht="14.25" customHeight="1" thickBot="1">
      <c r="A109" s="837" t="s">
        <v>523</v>
      </c>
      <c r="B109" s="843" t="s">
        <v>473</v>
      </c>
      <c r="C109" s="843"/>
      <c r="D109" s="843"/>
      <c r="E109" s="843"/>
      <c r="F109" s="848">
        <v>2280</v>
      </c>
    </row>
    <row r="110" spans="1:6" s="825" customFormat="1" ht="14.25" customHeight="1" thickBot="1">
      <c r="A110" s="837" t="s">
        <v>56</v>
      </c>
      <c r="B110" s="838" t="s">
        <v>525</v>
      </c>
      <c r="C110" s="838">
        <v>10520</v>
      </c>
      <c r="D110" s="838">
        <v>10490</v>
      </c>
      <c r="E110" s="838">
        <v>10760</v>
      </c>
      <c r="F110" s="839">
        <v>2160</v>
      </c>
    </row>
    <row r="111" spans="1:6" s="825" customFormat="1" ht="14.25" customHeight="1" thickBot="1">
      <c r="A111" s="837" t="s">
        <v>56</v>
      </c>
      <c r="B111" s="831" t="s">
        <v>192</v>
      </c>
      <c r="C111" s="831">
        <v>10090</v>
      </c>
      <c r="D111" s="831">
        <v>10060</v>
      </c>
      <c r="E111" s="831">
        <v>10300</v>
      </c>
      <c r="F111" s="845">
        <v>2010</v>
      </c>
    </row>
    <row r="112" spans="1:6" s="825" customFormat="1" ht="14.25" customHeight="1" thickBot="1">
      <c r="A112" s="837" t="s">
        <v>56</v>
      </c>
      <c r="B112" s="831" t="s">
        <v>205</v>
      </c>
      <c r="C112" s="831">
        <v>9910</v>
      </c>
      <c r="D112" s="831">
        <v>9850</v>
      </c>
      <c r="E112" s="831">
        <v>9960</v>
      </c>
      <c r="F112" s="845">
        <v>2090</v>
      </c>
    </row>
    <row r="113" spans="1:6" s="825" customFormat="1" ht="14.25" customHeight="1" thickBot="1">
      <c r="A113" s="837" t="s">
        <v>56</v>
      </c>
      <c r="B113" s="831" t="s">
        <v>218</v>
      </c>
      <c r="C113" s="831">
        <v>11430</v>
      </c>
      <c r="D113" s="831">
        <v>11400</v>
      </c>
      <c r="E113" s="831">
        <v>11710</v>
      </c>
      <c r="F113" s="845">
        <v>2050</v>
      </c>
    </row>
    <row r="114" spans="1:6" s="825" customFormat="1" ht="14.25" customHeight="1" thickBot="1">
      <c r="A114" s="837" t="s">
        <v>56</v>
      </c>
      <c r="B114" s="831" t="s">
        <v>230</v>
      </c>
      <c r="C114" s="831">
        <v>11390</v>
      </c>
      <c r="D114" s="831">
        <v>11350</v>
      </c>
      <c r="E114" s="831">
        <v>11640</v>
      </c>
      <c r="F114" s="845">
        <v>1620</v>
      </c>
    </row>
    <row r="115" spans="1:6" s="825" customFormat="1" ht="14.25" customHeight="1" thickBot="1">
      <c r="A115" s="837" t="s">
        <v>56</v>
      </c>
      <c r="B115" s="831" t="s">
        <v>241</v>
      </c>
      <c r="C115" s="831">
        <v>9930</v>
      </c>
      <c r="D115" s="831">
        <v>9900</v>
      </c>
      <c r="E115" s="831">
        <v>10160</v>
      </c>
      <c r="F115" s="845">
        <v>1580</v>
      </c>
    </row>
    <row r="116" spans="1:6" s="825" customFormat="1" ht="14.25" customHeight="1" thickBot="1">
      <c r="A116" s="837" t="s">
        <v>56</v>
      </c>
      <c r="B116" s="831" t="s">
        <v>252</v>
      </c>
      <c r="C116" s="831">
        <v>9150</v>
      </c>
      <c r="D116" s="831">
        <v>9120</v>
      </c>
      <c r="E116" s="831">
        <v>9380</v>
      </c>
      <c r="F116" s="845">
        <v>1750</v>
      </c>
    </row>
    <row r="117" spans="1:6" s="825" customFormat="1" ht="14.25" customHeight="1" thickBot="1">
      <c r="A117" s="837" t="s">
        <v>56</v>
      </c>
      <c r="B117" s="831" t="s">
        <v>263</v>
      </c>
      <c r="C117" s="831">
        <v>10680</v>
      </c>
      <c r="D117" s="831">
        <v>10650</v>
      </c>
      <c r="E117" s="831">
        <v>10970</v>
      </c>
      <c r="F117" s="845">
        <v>1730</v>
      </c>
    </row>
    <row r="118" spans="1:6" s="825" customFormat="1" ht="14.25" customHeight="1" thickBot="1">
      <c r="A118" s="837" t="s">
        <v>56</v>
      </c>
      <c r="B118" s="831" t="s">
        <v>275</v>
      </c>
      <c r="C118" s="831">
        <v>10080</v>
      </c>
      <c r="D118" s="831">
        <v>10050</v>
      </c>
      <c r="E118" s="831">
        <v>10350</v>
      </c>
      <c r="F118" s="845">
        <v>1920</v>
      </c>
    </row>
    <row r="119" spans="1:6" s="825" customFormat="1" ht="14.25" customHeight="1" thickBot="1">
      <c r="A119" s="837" t="s">
        <v>56</v>
      </c>
      <c r="B119" s="831" t="s">
        <v>285</v>
      </c>
      <c r="C119" s="831">
        <v>9450</v>
      </c>
      <c r="D119" s="831">
        <v>9410</v>
      </c>
      <c r="E119" s="831">
        <v>9680</v>
      </c>
      <c r="F119" s="845">
        <v>1880</v>
      </c>
    </row>
    <row r="120" spans="1:6" s="825" customFormat="1" ht="14.25" customHeight="1" thickBot="1">
      <c r="A120" s="837" t="s">
        <v>56</v>
      </c>
      <c r="B120" s="831" t="s">
        <v>295</v>
      </c>
      <c r="C120" s="831">
        <v>8730</v>
      </c>
      <c r="D120" s="831">
        <v>8700</v>
      </c>
      <c r="E120" s="831">
        <v>8950</v>
      </c>
      <c r="F120" s="845">
        <v>1830</v>
      </c>
    </row>
    <row r="121" spans="1:6" s="825" customFormat="1" ht="14.25" customHeight="1" thickBot="1">
      <c r="A121" s="837" t="s">
        <v>56</v>
      </c>
      <c r="B121" s="831" t="s">
        <v>305</v>
      </c>
      <c r="C121" s="831">
        <v>10070</v>
      </c>
      <c r="D121" s="831">
        <v>10040</v>
      </c>
      <c r="E121" s="831">
        <v>10270</v>
      </c>
      <c r="F121" s="845">
        <v>1960</v>
      </c>
    </row>
    <row r="122" spans="1:6" s="825" customFormat="1" ht="14.25" customHeight="1" thickBot="1">
      <c r="A122" s="837" t="s">
        <v>56</v>
      </c>
      <c r="B122" s="831" t="s">
        <v>315</v>
      </c>
      <c r="C122" s="831">
        <v>10500</v>
      </c>
      <c r="D122" s="831">
        <v>10470</v>
      </c>
      <c r="E122" s="831">
        <v>10780</v>
      </c>
      <c r="F122" s="845">
        <v>2180</v>
      </c>
    </row>
    <row r="123" spans="1:6" s="825" customFormat="1" ht="14.25" customHeight="1" thickBot="1">
      <c r="A123" s="837" t="s">
        <v>56</v>
      </c>
      <c r="B123" s="831" t="s">
        <v>326</v>
      </c>
      <c r="C123" s="831">
        <v>10390</v>
      </c>
      <c r="D123" s="831">
        <v>10360</v>
      </c>
      <c r="E123" s="831">
        <v>10660</v>
      </c>
      <c r="F123" s="845">
        <v>2040</v>
      </c>
    </row>
    <row r="124" spans="1:6" s="825" customFormat="1" ht="14.25" customHeight="1" thickBot="1">
      <c r="A124" s="837" t="s">
        <v>56</v>
      </c>
      <c r="B124" s="831" t="s">
        <v>337</v>
      </c>
      <c r="C124" s="831">
        <v>10390</v>
      </c>
      <c r="D124" s="831">
        <v>10360</v>
      </c>
      <c r="E124" s="831">
        <v>10680</v>
      </c>
      <c r="F124" s="849"/>
    </row>
    <row r="125" spans="1:6" s="825" customFormat="1" ht="14.25" customHeight="1" thickBot="1">
      <c r="A125" s="837" t="s">
        <v>56</v>
      </c>
      <c r="B125" s="831" t="s">
        <v>347</v>
      </c>
      <c r="C125" s="831">
        <v>10440</v>
      </c>
      <c r="D125" s="831">
        <v>10410</v>
      </c>
      <c r="E125" s="831">
        <v>10710</v>
      </c>
      <c r="F125" s="849"/>
    </row>
    <row r="126" spans="1:6" s="825" customFormat="1" ht="14.25" customHeight="1" thickBot="1">
      <c r="A126" s="837" t="s">
        <v>56</v>
      </c>
      <c r="B126" s="831" t="s">
        <v>357</v>
      </c>
      <c r="C126" s="831">
        <v>10780</v>
      </c>
      <c r="D126" s="831">
        <v>10750</v>
      </c>
      <c r="E126" s="831">
        <v>11080</v>
      </c>
      <c r="F126" s="849"/>
    </row>
    <row r="127" spans="1:6" s="825" customFormat="1" ht="14.25" customHeight="1" thickBot="1">
      <c r="A127" s="837" t="s">
        <v>56</v>
      </c>
      <c r="B127" s="831" t="s">
        <v>367</v>
      </c>
      <c r="C127" s="831">
        <v>10100</v>
      </c>
      <c r="D127" s="831">
        <v>10070</v>
      </c>
      <c r="E127" s="831">
        <v>10350</v>
      </c>
      <c r="F127" s="849"/>
    </row>
    <row r="128" spans="1:6" s="825" customFormat="1" ht="14.25" customHeight="1" thickBot="1">
      <c r="A128" s="837" t="s">
        <v>56</v>
      </c>
      <c r="B128" s="831" t="s">
        <v>377</v>
      </c>
      <c r="C128" s="831">
        <v>9200</v>
      </c>
      <c r="D128" s="831">
        <v>9160</v>
      </c>
      <c r="E128" s="831">
        <v>9660</v>
      </c>
      <c r="F128" s="849"/>
    </row>
    <row r="129" spans="1:6" s="825" customFormat="1" ht="14.25" customHeight="1" thickBot="1">
      <c r="A129" s="837" t="s">
        <v>56</v>
      </c>
      <c r="B129" s="831" t="s">
        <v>386</v>
      </c>
      <c r="C129" s="831">
        <v>10340</v>
      </c>
      <c r="D129" s="831">
        <v>10310</v>
      </c>
      <c r="E129" s="831">
        <v>10580</v>
      </c>
      <c r="F129" s="849"/>
    </row>
    <row r="130" spans="1:6" s="825" customFormat="1" ht="14.25" customHeight="1" thickBot="1">
      <c r="A130" s="837" t="s">
        <v>56</v>
      </c>
      <c r="B130" s="831" t="s">
        <v>395</v>
      </c>
      <c r="C130" s="831">
        <v>9680</v>
      </c>
      <c r="D130" s="831">
        <v>9660</v>
      </c>
      <c r="E130" s="831">
        <v>9950</v>
      </c>
      <c r="F130" s="849"/>
    </row>
    <row r="131" spans="1:6" s="825" customFormat="1" ht="14.25" customHeight="1" thickBot="1">
      <c r="A131" s="837" t="s">
        <v>56</v>
      </c>
      <c r="B131" s="831" t="s">
        <v>403</v>
      </c>
      <c r="C131" s="831">
        <v>9540</v>
      </c>
      <c r="D131" s="831">
        <v>9510</v>
      </c>
      <c r="E131" s="831">
        <v>9790</v>
      </c>
      <c r="F131" s="849"/>
    </row>
    <row r="132" spans="1:6" s="825" customFormat="1" ht="14.25" customHeight="1" thickBot="1">
      <c r="A132" s="837" t="s">
        <v>56</v>
      </c>
      <c r="B132" s="831" t="s">
        <v>410</v>
      </c>
      <c r="C132" s="831">
        <v>9320</v>
      </c>
      <c r="D132" s="831">
        <v>9290</v>
      </c>
      <c r="E132" s="831">
        <v>9570</v>
      </c>
      <c r="F132" s="849"/>
    </row>
    <row r="133" spans="1:6" s="825" customFormat="1" ht="14.25" customHeight="1" thickBot="1">
      <c r="A133" s="837" t="s">
        <v>56</v>
      </c>
      <c r="B133" s="831" t="s">
        <v>417</v>
      </c>
      <c r="C133" s="831">
        <v>10310</v>
      </c>
      <c r="D133" s="831">
        <v>10280</v>
      </c>
      <c r="E133" s="831">
        <v>10530</v>
      </c>
      <c r="F133" s="849"/>
    </row>
    <row r="134" spans="1:6" s="825" customFormat="1" ht="14.25" customHeight="1" thickBot="1">
      <c r="A134" s="837" t="s">
        <v>56</v>
      </c>
      <c r="B134" s="831" t="s">
        <v>424</v>
      </c>
      <c r="C134" s="831">
        <v>10370</v>
      </c>
      <c r="D134" s="831">
        <v>10310</v>
      </c>
      <c r="E134" s="831">
        <v>10240</v>
      </c>
      <c r="F134" s="845">
        <v>2060</v>
      </c>
    </row>
    <row r="135" spans="1:6" s="825" customFormat="1" ht="14.25" customHeight="1" thickBot="1">
      <c r="A135" s="837" t="s">
        <v>56</v>
      </c>
      <c r="B135" s="831" t="s">
        <v>431</v>
      </c>
      <c r="C135" s="831">
        <v>9300</v>
      </c>
      <c r="D135" s="831">
        <v>9270</v>
      </c>
      <c r="E135" s="831">
        <v>9350</v>
      </c>
      <c r="F135" s="849"/>
    </row>
    <row r="136" spans="1:6" s="825" customFormat="1" ht="14.25" customHeight="1" thickBot="1">
      <c r="A136" s="837" t="s">
        <v>56</v>
      </c>
      <c r="B136" s="831" t="s">
        <v>438</v>
      </c>
      <c r="C136" s="831">
        <v>10160</v>
      </c>
      <c r="D136" s="831">
        <v>10110</v>
      </c>
      <c r="E136" s="831">
        <v>10080</v>
      </c>
      <c r="F136" s="849"/>
    </row>
    <row r="137" spans="1:6" s="825" customFormat="1" ht="14.25" customHeight="1" thickBot="1">
      <c r="A137" s="837" t="s">
        <v>56</v>
      </c>
      <c r="B137" s="831" t="s">
        <v>445</v>
      </c>
      <c r="C137" s="831">
        <v>9200</v>
      </c>
      <c r="D137" s="831">
        <v>9170</v>
      </c>
      <c r="E137" s="831">
        <v>9450</v>
      </c>
      <c r="F137" s="849"/>
    </row>
    <row r="138" spans="1:6" s="825" customFormat="1" ht="14.25" customHeight="1" thickBot="1">
      <c r="A138" s="837" t="s">
        <v>56</v>
      </c>
      <c r="B138" s="831" t="s">
        <v>450</v>
      </c>
      <c r="C138" s="831">
        <v>9690</v>
      </c>
      <c r="D138" s="831">
        <v>9660</v>
      </c>
      <c r="E138" s="831">
        <v>9840</v>
      </c>
      <c r="F138" s="849"/>
    </row>
    <row r="139" spans="1:6" s="825" customFormat="1" ht="14.25" customHeight="1" thickBot="1">
      <c r="A139" s="837" t="s">
        <v>56</v>
      </c>
      <c r="B139" s="831" t="s">
        <v>454</v>
      </c>
      <c r="C139" s="831">
        <v>10290</v>
      </c>
      <c r="D139" s="831">
        <v>10260</v>
      </c>
      <c r="E139" s="831">
        <v>10550</v>
      </c>
      <c r="F139" s="845">
        <v>1700</v>
      </c>
    </row>
    <row r="140" spans="1:6" s="825" customFormat="1" ht="14.25" customHeight="1" thickBot="1">
      <c r="A140" s="837" t="s">
        <v>56</v>
      </c>
      <c r="B140" s="831" t="s">
        <v>459</v>
      </c>
      <c r="C140" s="831">
        <v>9740</v>
      </c>
      <c r="D140" s="831">
        <v>9710</v>
      </c>
      <c r="E140" s="831">
        <v>10000</v>
      </c>
      <c r="F140" s="845">
        <v>2000</v>
      </c>
    </row>
    <row r="141" spans="1:6" s="825" customFormat="1" ht="14.25" customHeight="1" thickBot="1">
      <c r="A141" s="837" t="s">
        <v>56</v>
      </c>
      <c r="B141" s="831" t="s">
        <v>464</v>
      </c>
      <c r="C141" s="831">
        <v>9810</v>
      </c>
      <c r="D141" s="831">
        <v>9770</v>
      </c>
      <c r="E141" s="831">
        <v>10060</v>
      </c>
      <c r="F141" s="849"/>
    </row>
    <row r="142" spans="1:6" s="825" customFormat="1" ht="14.25" customHeight="1" thickBot="1">
      <c r="A142" s="837" t="s">
        <v>56</v>
      </c>
      <c r="B142" s="831" t="s">
        <v>469</v>
      </c>
      <c r="C142" s="831">
        <v>9300</v>
      </c>
      <c r="D142" s="831">
        <v>9270</v>
      </c>
      <c r="E142" s="831">
        <v>9530</v>
      </c>
      <c r="F142" s="849"/>
    </row>
    <row r="143" spans="1:6" s="825" customFormat="1" ht="14.25" customHeight="1" thickBot="1">
      <c r="A143" s="837" t="s">
        <v>56</v>
      </c>
      <c r="B143" s="831" t="s">
        <v>474</v>
      </c>
      <c r="C143" s="831">
        <v>10080</v>
      </c>
      <c r="D143" s="831">
        <v>10050</v>
      </c>
      <c r="E143" s="831">
        <v>10340</v>
      </c>
      <c r="F143" s="849"/>
    </row>
    <row r="144" spans="1:6" s="825" customFormat="1" ht="14.25" customHeight="1" thickBot="1">
      <c r="A144" s="837" t="s">
        <v>56</v>
      </c>
      <c r="B144" s="831" t="s">
        <v>478</v>
      </c>
      <c r="C144" s="831">
        <v>9820</v>
      </c>
      <c r="D144" s="831">
        <v>9750</v>
      </c>
      <c r="E144" s="831">
        <v>9900</v>
      </c>
      <c r="F144" s="849"/>
    </row>
    <row r="145" spans="1:6" s="825" customFormat="1" ht="14.25" customHeight="1" thickBot="1">
      <c r="A145" s="837" t="s">
        <v>56</v>
      </c>
      <c r="B145" s="831" t="s">
        <v>482</v>
      </c>
      <c r="C145" s="831"/>
      <c r="D145" s="831"/>
      <c r="E145" s="831"/>
      <c r="F145" s="845">
        <v>1740</v>
      </c>
    </row>
    <row r="146" spans="1:6" s="825" customFormat="1" ht="14.25" customHeight="1" thickBot="1">
      <c r="A146" s="837" t="s">
        <v>56</v>
      </c>
      <c r="B146" s="831" t="s">
        <v>486</v>
      </c>
      <c r="C146" s="831"/>
      <c r="D146" s="831"/>
      <c r="E146" s="831"/>
      <c r="F146" s="845">
        <v>1740</v>
      </c>
    </row>
    <row r="147" spans="1:6" s="825" customFormat="1" ht="14.25" customHeight="1" thickBot="1">
      <c r="A147" s="837" t="s">
        <v>56</v>
      </c>
      <c r="B147" s="831" t="s">
        <v>490</v>
      </c>
      <c r="C147" s="831"/>
      <c r="D147" s="831"/>
      <c r="E147" s="831"/>
      <c r="F147" s="845">
        <v>1740</v>
      </c>
    </row>
    <row r="148" spans="1:6" s="825" customFormat="1" ht="14.25" customHeight="1" thickBot="1">
      <c r="A148" s="837" t="s">
        <v>56</v>
      </c>
      <c r="B148" s="831" t="s">
        <v>494</v>
      </c>
      <c r="C148" s="831"/>
      <c r="D148" s="831"/>
      <c r="E148" s="831"/>
      <c r="F148" s="845">
        <v>1740</v>
      </c>
    </row>
    <row r="149" spans="1:6" s="825" customFormat="1" ht="14.25" customHeight="1" thickBot="1">
      <c r="A149" s="837" t="s">
        <v>56</v>
      </c>
      <c r="B149" s="831" t="s">
        <v>498</v>
      </c>
      <c r="C149" s="831"/>
      <c r="D149" s="831"/>
      <c r="E149" s="831"/>
      <c r="F149" s="845">
        <v>1740</v>
      </c>
    </row>
    <row r="150" spans="1:6" s="825" customFormat="1" ht="14.25" customHeight="1" thickBot="1">
      <c r="A150" s="837" t="s">
        <v>56</v>
      </c>
      <c r="B150" s="831" t="s">
        <v>501</v>
      </c>
      <c r="C150" s="831"/>
      <c r="D150" s="831"/>
      <c r="E150" s="831"/>
      <c r="F150" s="845">
        <v>1610</v>
      </c>
    </row>
    <row r="151" spans="1:6" s="825" customFormat="1" ht="14.25" customHeight="1" thickBot="1">
      <c r="A151" s="837" t="s">
        <v>56</v>
      </c>
      <c r="B151" s="831" t="s">
        <v>504</v>
      </c>
      <c r="C151" s="831"/>
      <c r="D151" s="831"/>
      <c r="E151" s="831"/>
      <c r="F151" s="845">
        <v>1610</v>
      </c>
    </row>
    <row r="152" spans="1:6" s="825" customFormat="1" ht="14.25" customHeight="1" thickBot="1">
      <c r="A152" s="837" t="s">
        <v>56</v>
      </c>
      <c r="B152" s="831" t="s">
        <v>507</v>
      </c>
      <c r="C152" s="831"/>
      <c r="D152" s="831"/>
      <c r="E152" s="831"/>
      <c r="F152" s="845">
        <v>1610</v>
      </c>
    </row>
    <row r="153" spans="1:6" s="825" customFormat="1" ht="14.25" customHeight="1" thickBot="1">
      <c r="A153" s="837" t="s">
        <v>56</v>
      </c>
      <c r="B153" s="831" t="s">
        <v>510</v>
      </c>
      <c r="C153" s="831"/>
      <c r="D153" s="831"/>
      <c r="E153" s="831"/>
      <c r="F153" s="845">
        <v>1610</v>
      </c>
    </row>
    <row r="154" spans="1:6" s="825" customFormat="1" ht="14.25" customHeight="1" thickBot="1">
      <c r="A154" s="837" t="s">
        <v>56</v>
      </c>
      <c r="B154" s="831" t="s">
        <v>513</v>
      </c>
      <c r="C154" s="831"/>
      <c r="D154" s="831"/>
      <c r="E154" s="831"/>
      <c r="F154" s="845">
        <v>1610</v>
      </c>
    </row>
    <row r="155" spans="1:6" s="825" customFormat="1" ht="14.25" customHeight="1" thickBot="1">
      <c r="A155" s="837" t="s">
        <v>56</v>
      </c>
      <c r="B155" s="831" t="s">
        <v>516</v>
      </c>
      <c r="C155" s="831"/>
      <c r="D155" s="831"/>
      <c r="E155" s="831"/>
      <c r="F155" s="845">
        <v>1800</v>
      </c>
    </row>
    <row r="156" spans="1:6" s="825" customFormat="1" ht="14.25" customHeight="1" thickBot="1">
      <c r="A156" s="837" t="s">
        <v>56</v>
      </c>
      <c r="B156" s="831" t="s">
        <v>518</v>
      </c>
      <c r="C156" s="831"/>
      <c r="D156" s="831"/>
      <c r="E156" s="831"/>
      <c r="F156" s="845">
        <v>1910</v>
      </c>
    </row>
    <row r="157" spans="1:6" s="825" customFormat="1" ht="14.25" customHeight="1" thickBot="1">
      <c r="A157" s="837" t="s">
        <v>56</v>
      </c>
      <c r="B157" s="843" t="s">
        <v>521</v>
      </c>
      <c r="C157" s="843"/>
      <c r="D157" s="843"/>
      <c r="E157" s="843"/>
      <c r="F157" s="848">
        <v>1500</v>
      </c>
    </row>
    <row r="158" spans="1:6" s="825" customFormat="1" ht="14.25" customHeight="1" thickBot="1">
      <c r="A158" s="837" t="s">
        <v>526</v>
      </c>
      <c r="B158" s="838" t="s">
        <v>527</v>
      </c>
      <c r="C158" s="838">
        <v>8170</v>
      </c>
      <c r="D158" s="838">
        <v>8140</v>
      </c>
      <c r="E158" s="838">
        <v>8590</v>
      </c>
      <c r="F158" s="839">
        <v>1450</v>
      </c>
    </row>
    <row r="159" spans="1:6" s="825" customFormat="1" ht="14.25" customHeight="1" thickBot="1">
      <c r="A159" s="837" t="s">
        <v>526</v>
      </c>
      <c r="B159" s="831" t="s">
        <v>193</v>
      </c>
      <c r="C159" s="831">
        <v>7410</v>
      </c>
      <c r="D159" s="831">
        <v>7370</v>
      </c>
      <c r="E159" s="831">
        <v>8030</v>
      </c>
      <c r="F159" s="845">
        <v>1510</v>
      </c>
    </row>
    <row r="160" spans="1:6" s="825" customFormat="1" ht="14.25" customHeight="1" thickBot="1">
      <c r="A160" s="837" t="s">
        <v>526</v>
      </c>
      <c r="B160" s="831" t="s">
        <v>206</v>
      </c>
      <c r="C160" s="831">
        <v>7240</v>
      </c>
      <c r="D160" s="831">
        <v>7210</v>
      </c>
      <c r="E160" s="831">
        <v>7860</v>
      </c>
      <c r="F160" s="845">
        <v>1370</v>
      </c>
    </row>
    <row r="161" spans="1:6" s="825" customFormat="1" ht="14.25" customHeight="1" thickBot="1">
      <c r="A161" s="837" t="s">
        <v>526</v>
      </c>
      <c r="B161" s="831" t="s">
        <v>219</v>
      </c>
      <c r="C161" s="831">
        <v>7720</v>
      </c>
      <c r="D161" s="831">
        <v>7690</v>
      </c>
      <c r="E161" s="831">
        <v>8200</v>
      </c>
      <c r="F161" s="845">
        <v>1190</v>
      </c>
    </row>
    <row r="162" spans="1:6" s="825" customFormat="1" ht="14.25" customHeight="1" thickBot="1">
      <c r="A162" s="837" t="s">
        <v>526</v>
      </c>
      <c r="B162" s="831" t="s">
        <v>231</v>
      </c>
      <c r="C162" s="831">
        <v>6900</v>
      </c>
      <c r="D162" s="831">
        <v>6870</v>
      </c>
      <c r="E162" s="831">
        <v>7500</v>
      </c>
      <c r="F162" s="845">
        <v>1390</v>
      </c>
    </row>
    <row r="163" spans="1:6" s="825" customFormat="1" ht="14.25" customHeight="1" thickBot="1">
      <c r="A163" s="837" t="s">
        <v>526</v>
      </c>
      <c r="B163" s="831" t="s">
        <v>242</v>
      </c>
      <c r="C163" s="831">
        <v>7120</v>
      </c>
      <c r="D163" s="831">
        <v>7090</v>
      </c>
      <c r="E163" s="831">
        <v>7690</v>
      </c>
      <c r="F163" s="845">
        <v>1230</v>
      </c>
    </row>
    <row r="164" spans="1:6" s="825" customFormat="1" ht="14.25" customHeight="1" thickBot="1">
      <c r="A164" s="837" t="s">
        <v>526</v>
      </c>
      <c r="B164" s="831" t="s">
        <v>253</v>
      </c>
      <c r="C164" s="831">
        <v>6560</v>
      </c>
      <c r="D164" s="831">
        <v>6530</v>
      </c>
      <c r="E164" s="831">
        <v>7110</v>
      </c>
      <c r="F164" s="845">
        <v>1340</v>
      </c>
    </row>
    <row r="165" spans="1:6" s="825" customFormat="1" ht="14.25" customHeight="1" thickBot="1">
      <c r="A165" s="837" t="s">
        <v>526</v>
      </c>
      <c r="B165" s="831" t="s">
        <v>264</v>
      </c>
      <c r="C165" s="831">
        <v>7450</v>
      </c>
      <c r="D165" s="831">
        <v>7430</v>
      </c>
      <c r="E165" s="831">
        <v>8110</v>
      </c>
      <c r="F165" s="845">
        <v>1290</v>
      </c>
    </row>
    <row r="166" spans="1:6" s="825" customFormat="1" ht="14.25" customHeight="1" thickBot="1">
      <c r="A166" s="837" t="s">
        <v>526</v>
      </c>
      <c r="B166" s="831" t="s">
        <v>276</v>
      </c>
      <c r="C166" s="831">
        <v>7490</v>
      </c>
      <c r="D166" s="831">
        <v>7460</v>
      </c>
      <c r="E166" s="831">
        <v>8150</v>
      </c>
      <c r="F166" s="845">
        <v>1350</v>
      </c>
    </row>
    <row r="167" spans="1:6" s="825" customFormat="1" ht="14.25" customHeight="1" thickBot="1">
      <c r="A167" s="837" t="s">
        <v>526</v>
      </c>
      <c r="B167" s="831" t="s">
        <v>286</v>
      </c>
      <c r="C167" s="831">
        <v>7540</v>
      </c>
      <c r="D167" s="831">
        <v>7510</v>
      </c>
      <c r="E167" s="831">
        <v>8030</v>
      </c>
      <c r="F167" s="849"/>
    </row>
    <row r="168" spans="1:6" s="825" customFormat="1" ht="14.25" customHeight="1" thickBot="1">
      <c r="A168" s="837" t="s">
        <v>526</v>
      </c>
      <c r="B168" s="831" t="s">
        <v>296</v>
      </c>
      <c r="C168" s="831">
        <v>7210</v>
      </c>
      <c r="D168" s="831">
        <v>7180</v>
      </c>
      <c r="E168" s="831">
        <v>7830</v>
      </c>
      <c r="F168" s="849"/>
    </row>
    <row r="169" spans="1:6" s="825" customFormat="1" ht="14.25" customHeight="1" thickBot="1">
      <c r="A169" s="837" t="s">
        <v>526</v>
      </c>
      <c r="B169" s="831" t="s">
        <v>306</v>
      </c>
      <c r="C169" s="831">
        <v>7040</v>
      </c>
      <c r="D169" s="831">
        <v>7020</v>
      </c>
      <c r="E169" s="831">
        <v>7670</v>
      </c>
      <c r="F169" s="849"/>
    </row>
    <row r="170" spans="1:6" s="825" customFormat="1" ht="14.25" customHeight="1" thickBot="1">
      <c r="A170" s="837" t="s">
        <v>526</v>
      </c>
      <c r="B170" s="831" t="s">
        <v>316</v>
      </c>
      <c r="C170" s="831">
        <v>8040</v>
      </c>
      <c r="D170" s="831">
        <v>7190</v>
      </c>
      <c r="E170" s="831">
        <v>7850</v>
      </c>
      <c r="F170" s="849"/>
    </row>
    <row r="171" spans="1:6" s="825" customFormat="1" ht="14.25" customHeight="1" thickBot="1">
      <c r="A171" s="837" t="s">
        <v>526</v>
      </c>
      <c r="B171" s="831" t="s">
        <v>327</v>
      </c>
      <c r="C171" s="831">
        <v>7860</v>
      </c>
      <c r="D171" s="831">
        <v>7720</v>
      </c>
      <c r="E171" s="831">
        <v>8150</v>
      </c>
      <c r="F171" s="845">
        <v>1110</v>
      </c>
    </row>
    <row r="172" spans="1:6" s="825" customFormat="1" ht="14.25" customHeight="1" thickBot="1">
      <c r="A172" s="837" t="s">
        <v>526</v>
      </c>
      <c r="B172" s="831" t="s">
        <v>338</v>
      </c>
      <c r="C172" s="831">
        <v>7210</v>
      </c>
      <c r="D172" s="831">
        <v>7170</v>
      </c>
      <c r="E172" s="831">
        <v>7320</v>
      </c>
      <c r="F172" s="849"/>
    </row>
    <row r="173" spans="1:6" s="825" customFormat="1" ht="14.25" customHeight="1" thickBot="1">
      <c r="A173" s="837" t="s">
        <v>526</v>
      </c>
      <c r="B173" s="831" t="s">
        <v>348</v>
      </c>
      <c r="C173" s="831">
        <v>6860</v>
      </c>
      <c r="D173" s="831">
        <v>6810</v>
      </c>
      <c r="E173" s="831">
        <v>7440</v>
      </c>
      <c r="F173" s="849"/>
    </row>
    <row r="174" spans="1:6" s="825" customFormat="1" ht="14.25" customHeight="1" thickBot="1">
      <c r="A174" s="837" t="s">
        <v>526</v>
      </c>
      <c r="B174" s="831" t="s">
        <v>358</v>
      </c>
      <c r="C174" s="831">
        <v>7120</v>
      </c>
      <c r="D174" s="831">
        <v>7090</v>
      </c>
      <c r="E174" s="831">
        <v>7500</v>
      </c>
      <c r="F174" s="845">
        <v>1490</v>
      </c>
    </row>
    <row r="175" spans="1:6" s="825" customFormat="1" ht="14.25" customHeight="1" thickBot="1">
      <c r="A175" s="837" t="s">
        <v>526</v>
      </c>
      <c r="B175" s="831" t="s">
        <v>368</v>
      </c>
      <c r="C175" s="831">
        <v>7850</v>
      </c>
      <c r="D175" s="831">
        <v>7820</v>
      </c>
      <c r="E175" s="831">
        <v>8120</v>
      </c>
      <c r="F175" s="845">
        <v>1530</v>
      </c>
    </row>
    <row r="176" spans="1:6" s="825" customFormat="1" ht="14.25" customHeight="1" thickBot="1">
      <c r="A176" s="837" t="s">
        <v>526</v>
      </c>
      <c r="B176" s="831" t="s">
        <v>378</v>
      </c>
      <c r="C176" s="831">
        <v>7620</v>
      </c>
      <c r="D176" s="831">
        <v>7570</v>
      </c>
      <c r="E176" s="831">
        <v>7990</v>
      </c>
      <c r="F176" s="845">
        <v>1480</v>
      </c>
    </row>
    <row r="177" spans="1:6" s="825" customFormat="1" ht="14.25" customHeight="1" thickBot="1">
      <c r="A177" s="837" t="s">
        <v>526</v>
      </c>
      <c r="B177" s="831" t="s">
        <v>387</v>
      </c>
      <c r="C177" s="831">
        <v>8590</v>
      </c>
      <c r="D177" s="831">
        <v>8570</v>
      </c>
      <c r="E177" s="831">
        <v>8740</v>
      </c>
      <c r="F177" s="845">
        <v>1540</v>
      </c>
    </row>
    <row r="178" spans="1:6" s="825" customFormat="1" ht="14.25" customHeight="1" thickBot="1">
      <c r="A178" s="837" t="s">
        <v>526</v>
      </c>
      <c r="B178" s="831" t="s">
        <v>396</v>
      </c>
      <c r="C178" s="831">
        <v>7510</v>
      </c>
      <c r="D178" s="831">
        <v>7470</v>
      </c>
      <c r="E178" s="831">
        <v>8090</v>
      </c>
      <c r="F178" s="845">
        <v>1320</v>
      </c>
    </row>
    <row r="179" spans="1:6" s="825" customFormat="1" ht="14.25" customHeight="1" thickBot="1">
      <c r="A179" s="837" t="s">
        <v>526</v>
      </c>
      <c r="B179" s="831" t="s">
        <v>404</v>
      </c>
      <c r="C179" s="831">
        <v>6380</v>
      </c>
      <c r="D179" s="831">
        <v>6340</v>
      </c>
      <c r="E179" s="831">
        <v>6810</v>
      </c>
      <c r="F179" s="849"/>
    </row>
    <row r="180" spans="1:6" s="825" customFormat="1" ht="14.25" customHeight="1" thickBot="1">
      <c r="A180" s="837" t="s">
        <v>526</v>
      </c>
      <c r="B180" s="831" t="s">
        <v>411</v>
      </c>
      <c r="C180" s="831">
        <v>7830</v>
      </c>
      <c r="D180" s="831">
        <v>7800</v>
      </c>
      <c r="E180" s="831">
        <v>7780</v>
      </c>
      <c r="F180" s="845">
        <v>1440</v>
      </c>
    </row>
    <row r="181" spans="1:6" s="825" customFormat="1" ht="14.25" customHeight="1" thickBot="1">
      <c r="A181" s="837" t="s">
        <v>526</v>
      </c>
      <c r="B181" s="831" t="s">
        <v>418</v>
      </c>
      <c r="C181" s="831">
        <v>7110</v>
      </c>
      <c r="D181" s="831">
        <v>7080</v>
      </c>
      <c r="E181" s="831">
        <v>7730</v>
      </c>
      <c r="F181" s="845">
        <v>1350</v>
      </c>
    </row>
    <row r="182" spans="1:6" s="825" customFormat="1" ht="14.25" customHeight="1" thickBot="1">
      <c r="A182" s="837" t="s">
        <v>526</v>
      </c>
      <c r="B182" s="831" t="s">
        <v>425</v>
      </c>
      <c r="C182" s="831">
        <v>7310</v>
      </c>
      <c r="D182" s="831">
        <v>7280</v>
      </c>
      <c r="E182" s="831">
        <v>7950</v>
      </c>
      <c r="F182" s="845">
        <v>1220</v>
      </c>
    </row>
    <row r="183" spans="1:6" s="825" customFormat="1" ht="14.25" customHeight="1" thickBot="1">
      <c r="A183" s="837" t="s">
        <v>526</v>
      </c>
      <c r="B183" s="831" t="s">
        <v>432</v>
      </c>
      <c r="C183" s="831">
        <v>7470</v>
      </c>
      <c r="D183" s="831">
        <v>7440</v>
      </c>
      <c r="E183" s="831">
        <v>7880</v>
      </c>
      <c r="F183" s="849"/>
    </row>
    <row r="184" spans="1:6" s="825" customFormat="1" ht="14.25" customHeight="1" thickBot="1">
      <c r="A184" s="837" t="s">
        <v>526</v>
      </c>
      <c r="B184" s="831" t="s">
        <v>439</v>
      </c>
      <c r="C184" s="831">
        <v>6960</v>
      </c>
      <c r="D184" s="831">
        <v>6930</v>
      </c>
      <c r="E184" s="831">
        <v>7570</v>
      </c>
      <c r="F184" s="849"/>
    </row>
    <row r="185" spans="1:6" s="825" customFormat="1" ht="14.25" customHeight="1" thickBot="1">
      <c r="A185" s="837" t="s">
        <v>526</v>
      </c>
      <c r="B185" s="831" t="s">
        <v>446</v>
      </c>
      <c r="C185" s="831">
        <v>7260</v>
      </c>
      <c r="D185" s="831">
        <v>7230</v>
      </c>
      <c r="E185" s="831">
        <v>7710</v>
      </c>
      <c r="F185" s="845">
        <v>1360</v>
      </c>
    </row>
    <row r="186" spans="1:6" s="825" customFormat="1" ht="14.25" customHeight="1" thickBot="1">
      <c r="A186" s="837" t="s">
        <v>526</v>
      </c>
      <c r="B186" s="831" t="s">
        <v>451</v>
      </c>
      <c r="C186" s="831"/>
      <c r="D186" s="831"/>
      <c r="E186" s="831"/>
      <c r="F186" s="845">
        <v>1560</v>
      </c>
    </row>
    <row r="187" spans="1:6" s="825" customFormat="1" ht="14.25" customHeight="1" thickBot="1">
      <c r="A187" s="837" t="s">
        <v>526</v>
      </c>
      <c r="B187" s="831" t="s">
        <v>455</v>
      </c>
      <c r="C187" s="831"/>
      <c r="D187" s="831"/>
      <c r="E187" s="831"/>
      <c r="F187" s="845">
        <v>1560</v>
      </c>
    </row>
    <row r="188" spans="1:6" s="825" customFormat="1" ht="14.25" customHeight="1" thickBot="1">
      <c r="A188" s="837" t="s">
        <v>526</v>
      </c>
      <c r="B188" s="831" t="s">
        <v>460</v>
      </c>
      <c r="C188" s="831"/>
      <c r="D188" s="831"/>
      <c r="E188" s="831"/>
      <c r="F188" s="845">
        <v>1560</v>
      </c>
    </row>
    <row r="189" spans="1:6" s="825" customFormat="1" ht="14.25" customHeight="1" thickBot="1">
      <c r="A189" s="837" t="s">
        <v>526</v>
      </c>
      <c r="B189" s="831" t="s">
        <v>465</v>
      </c>
      <c r="C189" s="831"/>
      <c r="D189" s="831"/>
      <c r="E189" s="831"/>
      <c r="F189" s="845">
        <v>1320</v>
      </c>
    </row>
    <row r="190" spans="1:6" s="825" customFormat="1" ht="14.25" customHeight="1" thickBot="1">
      <c r="A190" s="837" t="s">
        <v>526</v>
      </c>
      <c r="B190" s="831" t="s">
        <v>470</v>
      </c>
      <c r="C190" s="831"/>
      <c r="D190" s="831"/>
      <c r="E190" s="831"/>
      <c r="F190" s="845">
        <v>1320</v>
      </c>
    </row>
    <row r="191" spans="1:6" s="825" customFormat="1" ht="14.25" customHeight="1" thickBot="1">
      <c r="A191" s="837" t="s">
        <v>526</v>
      </c>
      <c r="B191" s="831" t="s">
        <v>475</v>
      </c>
      <c r="C191" s="831"/>
      <c r="D191" s="831"/>
      <c r="E191" s="831"/>
      <c r="F191" s="845">
        <v>1320</v>
      </c>
    </row>
    <row r="192" spans="1:6" s="825" customFormat="1" ht="14.25" customHeight="1" thickBot="1">
      <c r="A192" s="837" t="s">
        <v>526</v>
      </c>
      <c r="B192" s="831" t="s">
        <v>479</v>
      </c>
      <c r="C192" s="831"/>
      <c r="D192" s="831"/>
      <c r="E192" s="831"/>
      <c r="F192" s="845">
        <v>1100</v>
      </c>
    </row>
    <row r="193" spans="1:6" s="825" customFormat="1" ht="14.25" customHeight="1" thickBot="1">
      <c r="A193" s="837" t="s">
        <v>526</v>
      </c>
      <c r="B193" s="831" t="s">
        <v>483</v>
      </c>
      <c r="C193" s="831"/>
      <c r="D193" s="831"/>
      <c r="E193" s="831"/>
      <c r="F193" s="845">
        <v>1100</v>
      </c>
    </row>
    <row r="194" spans="1:6" s="825" customFormat="1" ht="14.25" customHeight="1" thickBot="1">
      <c r="A194" s="837" t="s">
        <v>526</v>
      </c>
      <c r="B194" s="831" t="s">
        <v>487</v>
      </c>
      <c r="C194" s="831"/>
      <c r="D194" s="831"/>
      <c r="E194" s="831"/>
      <c r="F194" s="845">
        <v>1080</v>
      </c>
    </row>
    <row r="195" spans="1:6" s="825" customFormat="1" ht="14.25" customHeight="1" thickBot="1">
      <c r="A195" s="837" t="s">
        <v>526</v>
      </c>
      <c r="B195" s="831" t="s">
        <v>491</v>
      </c>
      <c r="C195" s="831"/>
      <c r="D195" s="831"/>
      <c r="E195" s="831"/>
      <c r="F195" s="845">
        <v>1270</v>
      </c>
    </row>
    <row r="196" spans="1:6" s="825" customFormat="1" ht="14.25" customHeight="1" thickBot="1">
      <c r="A196" s="837" t="s">
        <v>526</v>
      </c>
      <c r="B196" s="831" t="s">
        <v>495</v>
      </c>
      <c r="C196" s="831"/>
      <c r="D196" s="831"/>
      <c r="E196" s="831"/>
      <c r="F196" s="845">
        <v>1150</v>
      </c>
    </row>
    <row r="197" spans="1:6" s="825" customFormat="1" ht="14.25" customHeight="1" thickBot="1">
      <c r="A197" s="837" t="s">
        <v>526</v>
      </c>
      <c r="B197" s="831" t="s">
        <v>499</v>
      </c>
      <c r="C197" s="831"/>
      <c r="D197" s="831"/>
      <c r="E197" s="831"/>
      <c r="F197" s="845">
        <v>1330</v>
      </c>
    </row>
    <row r="198" spans="1:6" s="825" customFormat="1" ht="14.25" customHeight="1" thickBot="1">
      <c r="A198" s="837" t="s">
        <v>526</v>
      </c>
      <c r="B198" s="831" t="s">
        <v>502</v>
      </c>
      <c r="C198" s="831"/>
      <c r="D198" s="831"/>
      <c r="E198" s="831"/>
      <c r="F198" s="845">
        <v>1170</v>
      </c>
    </row>
    <row r="199" spans="1:6" s="825" customFormat="1" ht="14.25" customHeight="1" thickBot="1">
      <c r="A199" s="837" t="s">
        <v>526</v>
      </c>
      <c r="B199" s="831" t="s">
        <v>505</v>
      </c>
      <c r="C199" s="831"/>
      <c r="D199" s="831"/>
      <c r="E199" s="831"/>
      <c r="F199" s="845">
        <v>1120</v>
      </c>
    </row>
    <row r="200" spans="1:6" s="825" customFormat="1" ht="14.25" customHeight="1" thickBot="1">
      <c r="A200" s="837" t="s">
        <v>526</v>
      </c>
      <c r="B200" s="831" t="s">
        <v>508</v>
      </c>
      <c r="C200" s="831"/>
      <c r="D200" s="831"/>
      <c r="E200" s="831"/>
      <c r="F200" s="845">
        <v>1120</v>
      </c>
    </row>
    <row r="201" spans="1:6" s="825" customFormat="1" ht="14.25" customHeight="1" thickBot="1">
      <c r="A201" s="837" t="s">
        <v>526</v>
      </c>
      <c r="B201" s="831" t="s">
        <v>511</v>
      </c>
      <c r="C201" s="831"/>
      <c r="D201" s="831"/>
      <c r="E201" s="831"/>
      <c r="F201" s="845">
        <v>1540</v>
      </c>
    </row>
    <row r="202" spans="1:6" s="825" customFormat="1" ht="14.25" customHeight="1" thickBot="1">
      <c r="A202" s="837" t="s">
        <v>526</v>
      </c>
      <c r="B202" s="831" t="s">
        <v>514</v>
      </c>
      <c r="C202" s="831"/>
      <c r="D202" s="831"/>
      <c r="E202" s="831"/>
      <c r="F202" s="845">
        <v>1310</v>
      </c>
    </row>
    <row r="203" spans="1:6" s="825" customFormat="1" ht="14.25" customHeight="1" thickBot="1">
      <c r="A203" s="837" t="s">
        <v>526</v>
      </c>
      <c r="B203" s="831" t="s">
        <v>517</v>
      </c>
      <c r="C203" s="831"/>
      <c r="D203" s="831"/>
      <c r="E203" s="831"/>
      <c r="F203" s="845">
        <v>1310</v>
      </c>
    </row>
    <row r="204" spans="1:6" s="825" customFormat="1" ht="14.25" customHeight="1" thickBot="1">
      <c r="A204" s="837" t="s">
        <v>526</v>
      </c>
      <c r="B204" s="831" t="s">
        <v>519</v>
      </c>
      <c r="C204" s="831"/>
      <c r="D204" s="831"/>
      <c r="E204" s="831"/>
      <c r="F204" s="845">
        <v>1080</v>
      </c>
    </row>
    <row r="205" spans="1:6" s="825" customFormat="1" ht="14.25" customHeight="1" thickBot="1">
      <c r="A205" s="837" t="s">
        <v>526</v>
      </c>
      <c r="B205" s="831" t="s">
        <v>522</v>
      </c>
      <c r="C205" s="831"/>
      <c r="D205" s="831"/>
      <c r="E205" s="831"/>
      <c r="F205" s="845">
        <v>1080</v>
      </c>
    </row>
    <row r="206" spans="1:6" s="825" customFormat="1" ht="14.25" customHeight="1" thickBot="1">
      <c r="A206" s="837" t="s">
        <v>528</v>
      </c>
      <c r="B206" s="838" t="s">
        <v>529</v>
      </c>
      <c r="C206" s="838">
        <v>5450</v>
      </c>
      <c r="D206" s="838">
        <v>5430</v>
      </c>
      <c r="E206" s="838">
        <v>5700</v>
      </c>
      <c r="F206" s="839">
        <v>1020</v>
      </c>
    </row>
    <row r="207" spans="1:6" s="825" customFormat="1" ht="14.25" customHeight="1" thickBot="1">
      <c r="A207" s="837" t="s">
        <v>528</v>
      </c>
      <c r="B207" s="831" t="s">
        <v>194</v>
      </c>
      <c r="C207" s="831">
        <v>5860</v>
      </c>
      <c r="D207" s="831">
        <v>5820</v>
      </c>
      <c r="E207" s="831">
        <v>6050</v>
      </c>
      <c r="F207" s="845">
        <v>1080</v>
      </c>
    </row>
    <row r="208" spans="1:6" s="825" customFormat="1" ht="14.25" customHeight="1" thickBot="1">
      <c r="A208" s="837" t="s">
        <v>528</v>
      </c>
      <c r="B208" s="831" t="s">
        <v>207</v>
      </c>
      <c r="C208" s="831">
        <v>4630</v>
      </c>
      <c r="D208" s="831">
        <v>4600</v>
      </c>
      <c r="E208" s="831">
        <v>4840</v>
      </c>
      <c r="F208" s="845">
        <v>900</v>
      </c>
    </row>
    <row r="209" spans="1:6" s="825" customFormat="1" ht="14.25" customHeight="1" thickBot="1">
      <c r="A209" s="837" t="s">
        <v>528</v>
      </c>
      <c r="B209" s="831" t="s">
        <v>220</v>
      </c>
      <c r="C209" s="831">
        <v>5320</v>
      </c>
      <c r="D209" s="831">
        <v>5270</v>
      </c>
      <c r="E209" s="831">
        <v>5540</v>
      </c>
      <c r="F209" s="845">
        <v>980</v>
      </c>
    </row>
    <row r="210" spans="1:6" s="825" customFormat="1" ht="14.25" customHeight="1" thickBot="1">
      <c r="A210" s="837" t="s">
        <v>528</v>
      </c>
      <c r="B210" s="831" t="s">
        <v>232</v>
      </c>
      <c r="C210" s="831">
        <v>5760</v>
      </c>
      <c r="D210" s="831">
        <v>5710</v>
      </c>
      <c r="E210" s="831">
        <v>6010</v>
      </c>
      <c r="F210" s="845">
        <v>870</v>
      </c>
    </row>
    <row r="211" spans="1:6" s="825" customFormat="1" ht="14.25" customHeight="1" thickBot="1">
      <c r="A211" s="837" t="s">
        <v>528</v>
      </c>
      <c r="B211" s="831" t="s">
        <v>243</v>
      </c>
      <c r="C211" s="831">
        <v>4160</v>
      </c>
      <c r="D211" s="831">
        <v>4100</v>
      </c>
      <c r="E211" s="831">
        <v>4270</v>
      </c>
      <c r="F211" s="845">
        <v>790</v>
      </c>
    </row>
    <row r="212" spans="1:6" s="825" customFormat="1" ht="14.25" customHeight="1" thickBot="1">
      <c r="A212" s="837" t="s">
        <v>528</v>
      </c>
      <c r="B212" s="831" t="s">
        <v>254</v>
      </c>
      <c r="C212" s="831">
        <v>4880</v>
      </c>
      <c r="D212" s="831">
        <v>4850</v>
      </c>
      <c r="E212" s="831">
        <v>5110</v>
      </c>
      <c r="F212" s="845">
        <v>940</v>
      </c>
    </row>
    <row r="213" spans="1:6" s="825" customFormat="1" ht="14.25" customHeight="1" thickBot="1">
      <c r="A213" s="837" t="s">
        <v>528</v>
      </c>
      <c r="B213" s="831" t="s">
        <v>265</v>
      </c>
      <c r="C213" s="831">
        <v>4640</v>
      </c>
      <c r="D213" s="831">
        <v>4590</v>
      </c>
      <c r="E213" s="831">
        <v>4700</v>
      </c>
      <c r="F213" s="845">
        <v>1030</v>
      </c>
    </row>
    <row r="214" spans="1:6" s="825" customFormat="1" ht="14.25" customHeight="1" thickBot="1">
      <c r="A214" s="837" t="s">
        <v>528</v>
      </c>
      <c r="B214" s="831" t="s">
        <v>277</v>
      </c>
      <c r="C214" s="831">
        <v>4540</v>
      </c>
      <c r="D214" s="831">
        <v>4490</v>
      </c>
      <c r="E214" s="831">
        <v>4610</v>
      </c>
      <c r="F214" s="849"/>
    </row>
    <row r="215" spans="1:6" s="825" customFormat="1" ht="14.25" customHeight="1" thickBot="1">
      <c r="A215" s="837" t="s">
        <v>528</v>
      </c>
      <c r="B215" s="831" t="s">
        <v>287</v>
      </c>
      <c r="C215" s="831">
        <v>5280</v>
      </c>
      <c r="D215" s="831">
        <v>5250</v>
      </c>
      <c r="E215" s="831">
        <v>5520</v>
      </c>
      <c r="F215" s="845">
        <v>1000</v>
      </c>
    </row>
    <row r="216" spans="1:6" s="825" customFormat="1" ht="14.25" customHeight="1" thickBot="1">
      <c r="A216" s="837" t="s">
        <v>528</v>
      </c>
      <c r="B216" s="831" t="s">
        <v>297</v>
      </c>
      <c r="C216" s="831">
        <v>5100</v>
      </c>
      <c r="D216" s="831">
        <v>5050</v>
      </c>
      <c r="E216" s="831">
        <v>5300</v>
      </c>
      <c r="F216" s="845">
        <v>950</v>
      </c>
    </row>
    <row r="217" spans="1:6" s="825" customFormat="1" ht="14.25" customHeight="1" thickBot="1">
      <c r="A217" s="837" t="s">
        <v>528</v>
      </c>
      <c r="B217" s="831" t="s">
        <v>307</v>
      </c>
      <c r="C217" s="831">
        <v>5370</v>
      </c>
      <c r="D217" s="831">
        <v>5320</v>
      </c>
      <c r="E217" s="831">
        <v>5410</v>
      </c>
      <c r="F217" s="845">
        <v>950</v>
      </c>
    </row>
    <row r="218" spans="1:6" s="825" customFormat="1" ht="14.25" customHeight="1" thickBot="1">
      <c r="A218" s="837" t="s">
        <v>528</v>
      </c>
      <c r="B218" s="831" t="s">
        <v>317</v>
      </c>
      <c r="C218" s="831">
        <v>5540</v>
      </c>
      <c r="D218" s="831">
        <v>5480</v>
      </c>
      <c r="E218" s="831">
        <v>5740</v>
      </c>
      <c r="F218" s="845">
        <v>1020</v>
      </c>
    </row>
    <row r="219" spans="1:6" s="825" customFormat="1" ht="14.25" customHeight="1" thickBot="1">
      <c r="A219" s="837" t="s">
        <v>528</v>
      </c>
      <c r="B219" s="831" t="s">
        <v>328</v>
      </c>
      <c r="C219" s="831">
        <v>5140</v>
      </c>
      <c r="D219" s="831">
        <v>5100</v>
      </c>
      <c r="E219" s="831">
        <v>5350</v>
      </c>
      <c r="F219" s="845">
        <v>1120</v>
      </c>
    </row>
    <row r="220" spans="1:6" s="825" customFormat="1" ht="14.25" customHeight="1" thickBot="1">
      <c r="A220" s="837" t="s">
        <v>528</v>
      </c>
      <c r="B220" s="831" t="s">
        <v>339</v>
      </c>
      <c r="C220" s="831">
        <v>5040</v>
      </c>
      <c r="D220" s="831">
        <v>5000</v>
      </c>
      <c r="E220" s="831">
        <v>5240</v>
      </c>
      <c r="F220" s="845">
        <v>980</v>
      </c>
    </row>
    <row r="221" spans="1:6" s="825" customFormat="1" ht="14.25" customHeight="1" thickBot="1">
      <c r="A221" s="837" t="s">
        <v>528</v>
      </c>
      <c r="B221" s="831" t="s">
        <v>349</v>
      </c>
      <c r="C221" s="850"/>
      <c r="D221" s="850"/>
      <c r="E221" s="850"/>
      <c r="F221" s="845">
        <v>1070</v>
      </c>
    </row>
    <row r="222" spans="1:6" s="825" customFormat="1" ht="14.25" customHeight="1" thickBot="1">
      <c r="A222" s="837" t="s">
        <v>528</v>
      </c>
      <c r="B222" s="831" t="s">
        <v>359</v>
      </c>
      <c r="C222" s="850"/>
      <c r="D222" s="850"/>
      <c r="E222" s="850"/>
      <c r="F222" s="845">
        <v>870</v>
      </c>
    </row>
    <row r="223" spans="1:6" s="825" customFormat="1" ht="14.25" customHeight="1" thickBot="1">
      <c r="A223" s="837" t="s">
        <v>528</v>
      </c>
      <c r="B223" s="831" t="s">
        <v>369</v>
      </c>
      <c r="C223" s="850"/>
      <c r="D223" s="850"/>
      <c r="E223" s="850"/>
      <c r="F223" s="845">
        <v>940</v>
      </c>
    </row>
    <row r="224" spans="1:6" s="825" customFormat="1" ht="14.25" customHeight="1" thickBot="1">
      <c r="A224" s="837" t="s">
        <v>528</v>
      </c>
      <c r="B224" s="831" t="s">
        <v>379</v>
      </c>
      <c r="C224" s="850"/>
      <c r="D224" s="850"/>
      <c r="E224" s="850"/>
      <c r="F224" s="845">
        <v>990</v>
      </c>
    </row>
    <row r="225" spans="1:6" s="825" customFormat="1" ht="14.25" customHeight="1" thickBot="1">
      <c r="A225" s="837" t="s">
        <v>528</v>
      </c>
      <c r="B225" s="831" t="s">
        <v>388</v>
      </c>
      <c r="C225" s="831">
        <v>5730</v>
      </c>
      <c r="D225" s="831">
        <v>5680</v>
      </c>
      <c r="E225" s="831">
        <v>6020</v>
      </c>
      <c r="F225" s="845">
        <v>1000</v>
      </c>
    </row>
    <row r="226" spans="1:6" s="825" customFormat="1" ht="14.25" customHeight="1" thickBot="1">
      <c r="A226" s="837" t="s">
        <v>528</v>
      </c>
      <c r="B226" s="831" t="s">
        <v>397</v>
      </c>
      <c r="C226" s="831">
        <v>4970</v>
      </c>
      <c r="D226" s="831">
        <v>4940</v>
      </c>
      <c r="E226" s="831">
        <v>5180</v>
      </c>
      <c r="F226" s="845">
        <v>960</v>
      </c>
    </row>
    <row r="227" spans="1:6" s="825" customFormat="1" ht="14.25" customHeight="1" thickBot="1">
      <c r="A227" s="837" t="s">
        <v>528</v>
      </c>
      <c r="B227" s="831" t="s">
        <v>405</v>
      </c>
      <c r="C227" s="831">
        <v>5550</v>
      </c>
      <c r="D227" s="831">
        <v>5500</v>
      </c>
      <c r="E227" s="831">
        <v>5780</v>
      </c>
      <c r="F227" s="845">
        <v>940</v>
      </c>
    </row>
    <row r="228" spans="1:6" s="825" customFormat="1" ht="14.25" customHeight="1" thickBot="1">
      <c r="A228" s="837" t="s">
        <v>528</v>
      </c>
      <c r="B228" s="831" t="s">
        <v>412</v>
      </c>
      <c r="C228" s="831">
        <v>5460</v>
      </c>
      <c r="D228" s="831">
        <v>5420</v>
      </c>
      <c r="E228" s="831">
        <v>5690</v>
      </c>
      <c r="F228" s="845">
        <v>910</v>
      </c>
    </row>
    <row r="229" spans="1:6" s="825" customFormat="1" ht="14.25" customHeight="1" thickBot="1">
      <c r="A229" s="837" t="s">
        <v>528</v>
      </c>
      <c r="B229" s="831" t="s">
        <v>419</v>
      </c>
      <c r="C229" s="831">
        <v>5310</v>
      </c>
      <c r="D229" s="831">
        <v>5270</v>
      </c>
      <c r="E229" s="831">
        <v>5510</v>
      </c>
      <c r="F229" s="849"/>
    </row>
    <row r="230" spans="1:6" s="825" customFormat="1" ht="14.25" customHeight="1" thickBot="1">
      <c r="A230" s="837" t="s">
        <v>528</v>
      </c>
      <c r="B230" s="831" t="s">
        <v>426</v>
      </c>
      <c r="C230" s="831">
        <v>4540</v>
      </c>
      <c r="D230" s="831">
        <v>4500</v>
      </c>
      <c r="E230" s="831">
        <v>4730</v>
      </c>
      <c r="F230" s="849"/>
    </row>
    <row r="231" spans="1:6" s="825" customFormat="1" ht="14.25" customHeight="1" thickBot="1">
      <c r="A231" s="837" t="s">
        <v>528</v>
      </c>
      <c r="B231" s="831" t="s">
        <v>433</v>
      </c>
      <c r="C231" s="831">
        <v>4480</v>
      </c>
      <c r="D231" s="831">
        <v>4410</v>
      </c>
      <c r="E231" s="831">
        <v>4640</v>
      </c>
      <c r="F231" s="849"/>
    </row>
    <row r="232" spans="1:6" s="825" customFormat="1" ht="14.25" customHeight="1" thickBot="1">
      <c r="A232" s="837" t="s">
        <v>528</v>
      </c>
      <c r="B232" s="831" t="s">
        <v>440</v>
      </c>
      <c r="C232" s="831">
        <v>5670</v>
      </c>
      <c r="D232" s="831">
        <v>5600</v>
      </c>
      <c r="E232" s="831">
        <v>5890</v>
      </c>
      <c r="F232" s="845">
        <v>1150</v>
      </c>
    </row>
    <row r="233" spans="1:6" s="825" customFormat="1" ht="14.25" customHeight="1" thickBot="1">
      <c r="A233" s="837" t="s">
        <v>528</v>
      </c>
      <c r="B233" s="831" t="s">
        <v>447</v>
      </c>
      <c r="C233" s="831">
        <v>4590</v>
      </c>
      <c r="D233" s="831">
        <v>4500</v>
      </c>
      <c r="E233" s="831">
        <v>4600</v>
      </c>
      <c r="F233" s="849"/>
    </row>
    <row r="234" spans="1:6" s="825" customFormat="1" ht="14.25" customHeight="1" thickBot="1">
      <c r="A234" s="837" t="s">
        <v>528</v>
      </c>
      <c r="B234" s="831" t="s">
        <v>1053</v>
      </c>
      <c r="C234" s="831">
        <v>3990</v>
      </c>
      <c r="D234" s="831">
        <v>3950</v>
      </c>
      <c r="E234" s="831">
        <v>4180</v>
      </c>
      <c r="F234" s="849"/>
    </row>
    <row r="235" spans="1:6" s="825" customFormat="1" ht="14.25" customHeight="1" thickBot="1">
      <c r="A235" s="837" t="s">
        <v>528</v>
      </c>
      <c r="B235" s="831" t="s">
        <v>456</v>
      </c>
      <c r="C235" s="831">
        <v>5590</v>
      </c>
      <c r="D235" s="831">
        <v>5540</v>
      </c>
      <c r="E235" s="831">
        <v>5810</v>
      </c>
      <c r="F235" s="845">
        <v>970</v>
      </c>
    </row>
    <row r="236" spans="1:6" s="825" customFormat="1" ht="14.25" customHeight="1" thickBot="1">
      <c r="A236" s="837" t="s">
        <v>528</v>
      </c>
      <c r="B236" s="831" t="s">
        <v>461</v>
      </c>
      <c r="C236" s="831"/>
      <c r="D236" s="831"/>
      <c r="E236" s="831"/>
      <c r="F236" s="845">
        <v>1020</v>
      </c>
    </row>
    <row r="237" spans="1:6" s="825" customFormat="1" ht="14.25" customHeight="1" thickBot="1">
      <c r="A237" s="837" t="s">
        <v>528</v>
      </c>
      <c r="B237" s="831" t="s">
        <v>466</v>
      </c>
      <c r="C237" s="831"/>
      <c r="D237" s="831"/>
      <c r="E237" s="831"/>
      <c r="F237" s="845">
        <v>960</v>
      </c>
    </row>
    <row r="238" spans="1:6" s="825" customFormat="1" ht="14.25" customHeight="1" thickBot="1">
      <c r="A238" s="837" t="s">
        <v>528</v>
      </c>
      <c r="B238" s="831" t="s">
        <v>471</v>
      </c>
      <c r="C238" s="831"/>
      <c r="D238" s="831"/>
      <c r="E238" s="831"/>
      <c r="F238" s="845">
        <v>960</v>
      </c>
    </row>
    <row r="239" spans="1:6" s="825" customFormat="1" ht="14.25" customHeight="1" thickBot="1">
      <c r="A239" s="837" t="s">
        <v>528</v>
      </c>
      <c r="B239" s="831" t="s">
        <v>476</v>
      </c>
      <c r="C239" s="831"/>
      <c r="D239" s="831"/>
      <c r="E239" s="831"/>
      <c r="F239" s="845">
        <v>960</v>
      </c>
    </row>
    <row r="240" spans="1:6" s="825" customFormat="1" ht="14.25" customHeight="1" thickBot="1">
      <c r="A240" s="837" t="s">
        <v>528</v>
      </c>
      <c r="B240" s="831" t="s">
        <v>480</v>
      </c>
      <c r="C240" s="831"/>
      <c r="D240" s="831"/>
      <c r="E240" s="831"/>
      <c r="F240" s="845">
        <v>990</v>
      </c>
    </row>
    <row r="241" spans="1:6" s="825" customFormat="1" ht="14.25" customHeight="1" thickBot="1">
      <c r="A241" s="837" t="s">
        <v>528</v>
      </c>
      <c r="B241" s="831" t="s">
        <v>484</v>
      </c>
      <c r="C241" s="831"/>
      <c r="D241" s="831"/>
      <c r="E241" s="831"/>
      <c r="F241" s="845">
        <v>1000</v>
      </c>
    </row>
    <row r="242" spans="1:6" s="825" customFormat="1" ht="14.25" customHeight="1" thickBot="1">
      <c r="A242" s="837" t="s">
        <v>528</v>
      </c>
      <c r="B242" s="831" t="s">
        <v>488</v>
      </c>
      <c r="C242" s="831"/>
      <c r="D242" s="831"/>
      <c r="E242" s="831"/>
      <c r="F242" s="845">
        <v>980</v>
      </c>
    </row>
    <row r="243" spans="1:6" s="825" customFormat="1" ht="14.25" customHeight="1" thickBot="1">
      <c r="A243" s="837" t="s">
        <v>528</v>
      </c>
      <c r="B243" s="831" t="s">
        <v>492</v>
      </c>
      <c r="C243" s="831"/>
      <c r="D243" s="831"/>
      <c r="E243" s="831"/>
      <c r="F243" s="845">
        <v>970</v>
      </c>
    </row>
    <row r="244" spans="1:6" s="825" customFormat="1" ht="14.25" customHeight="1" thickBot="1">
      <c r="A244" s="837" t="s">
        <v>528</v>
      </c>
      <c r="B244" s="843" t="s">
        <v>496</v>
      </c>
      <c r="C244" s="843"/>
      <c r="D244" s="843"/>
      <c r="E244" s="843"/>
      <c r="F244" s="848">
        <v>970</v>
      </c>
    </row>
    <row r="245" spans="1:6" s="825" customFormat="1" ht="14.25" customHeight="1" thickBot="1">
      <c r="A245" s="837" t="s">
        <v>530</v>
      </c>
      <c r="B245" s="838" t="s">
        <v>531</v>
      </c>
      <c r="C245" s="838">
        <v>4050</v>
      </c>
      <c r="D245" s="838">
        <v>4020</v>
      </c>
      <c r="E245" s="838">
        <v>4160</v>
      </c>
      <c r="F245" s="839">
        <v>840</v>
      </c>
    </row>
    <row r="246" spans="1:6" s="825" customFormat="1" ht="14.25" customHeight="1" thickBot="1">
      <c r="A246" s="837" t="s">
        <v>530</v>
      </c>
      <c r="B246" s="831" t="s">
        <v>195</v>
      </c>
      <c r="C246" s="831">
        <v>4010</v>
      </c>
      <c r="D246" s="831">
        <v>3960</v>
      </c>
      <c r="E246" s="831">
        <v>4130</v>
      </c>
      <c r="F246" s="845">
        <v>840</v>
      </c>
    </row>
    <row r="247" spans="1:6" s="825" customFormat="1" ht="14.25" customHeight="1" thickBot="1">
      <c r="A247" s="837" t="s">
        <v>530</v>
      </c>
      <c r="B247" s="831" t="s">
        <v>532</v>
      </c>
      <c r="C247" s="831">
        <v>3170</v>
      </c>
      <c r="D247" s="831">
        <v>3140</v>
      </c>
      <c r="E247" s="831">
        <v>3270</v>
      </c>
      <c r="F247" s="845">
        <v>640</v>
      </c>
    </row>
    <row r="248" spans="1:6" s="825" customFormat="1" ht="14.25" customHeight="1" thickBot="1">
      <c r="A248" s="837" t="s">
        <v>530</v>
      </c>
      <c r="B248" s="831" t="s">
        <v>533</v>
      </c>
      <c r="C248" s="831">
        <v>3140</v>
      </c>
      <c r="D248" s="831">
        <v>3120</v>
      </c>
      <c r="E248" s="831">
        <v>3240</v>
      </c>
      <c r="F248" s="845">
        <v>620</v>
      </c>
    </row>
    <row r="249" spans="1:6" s="825" customFormat="1" ht="14.25" customHeight="1" thickBot="1">
      <c r="A249" s="837" t="s">
        <v>530</v>
      </c>
      <c r="B249" s="831" t="s">
        <v>233</v>
      </c>
      <c r="C249" s="831">
        <v>3200</v>
      </c>
      <c r="D249" s="831">
        <v>3100</v>
      </c>
      <c r="E249" s="831">
        <v>3230</v>
      </c>
      <c r="F249" s="845">
        <v>750</v>
      </c>
    </row>
    <row r="250" spans="1:6" s="825" customFormat="1" ht="14.25" customHeight="1" thickBot="1">
      <c r="A250" s="837" t="s">
        <v>530</v>
      </c>
      <c r="B250" s="831" t="s">
        <v>244</v>
      </c>
      <c r="C250" s="831">
        <v>4060</v>
      </c>
      <c r="D250" s="831">
        <v>4000</v>
      </c>
      <c r="E250" s="831">
        <v>4140</v>
      </c>
      <c r="F250" s="845">
        <v>790</v>
      </c>
    </row>
    <row r="251" spans="1:6" s="825" customFormat="1" ht="14.25" customHeight="1" thickBot="1">
      <c r="A251" s="837" t="s">
        <v>530</v>
      </c>
      <c r="B251" s="831" t="s">
        <v>255</v>
      </c>
      <c r="C251" s="831">
        <v>3990</v>
      </c>
      <c r="D251" s="831">
        <v>3970</v>
      </c>
      <c r="E251" s="831">
        <v>4110</v>
      </c>
      <c r="F251" s="845">
        <v>730</v>
      </c>
    </row>
    <row r="252" spans="1:6" s="825" customFormat="1" ht="14.25" customHeight="1" thickBot="1">
      <c r="A252" s="837" t="s">
        <v>530</v>
      </c>
      <c r="B252" s="831" t="s">
        <v>266</v>
      </c>
      <c r="C252" s="831">
        <v>3560</v>
      </c>
      <c r="D252" s="831">
        <v>3530</v>
      </c>
      <c r="E252" s="831">
        <v>3650</v>
      </c>
      <c r="F252" s="845">
        <v>750</v>
      </c>
    </row>
    <row r="253" spans="1:6" s="825" customFormat="1" ht="14.25" customHeight="1" thickBot="1">
      <c r="A253" s="837" t="s">
        <v>530</v>
      </c>
      <c r="B253" s="831" t="s">
        <v>278</v>
      </c>
      <c r="C253" s="831">
        <v>3780</v>
      </c>
      <c r="D253" s="831">
        <v>3750</v>
      </c>
      <c r="E253" s="831">
        <v>3870</v>
      </c>
      <c r="F253" s="845">
        <v>770</v>
      </c>
    </row>
    <row r="254" spans="1:6" s="825" customFormat="1" ht="14.25" customHeight="1" thickBot="1">
      <c r="A254" s="837" t="s">
        <v>530</v>
      </c>
      <c r="B254" s="831" t="s">
        <v>288</v>
      </c>
      <c r="C254" s="850"/>
      <c r="D254" s="850"/>
      <c r="E254" s="850"/>
      <c r="F254" s="845">
        <v>740</v>
      </c>
    </row>
    <row r="255" spans="1:6" s="825" customFormat="1" ht="14.25" customHeight="1" thickBot="1">
      <c r="A255" s="837" t="s">
        <v>530</v>
      </c>
      <c r="B255" s="831" t="s">
        <v>298</v>
      </c>
      <c r="C255" s="850"/>
      <c r="D255" s="850"/>
      <c r="E255" s="850"/>
      <c r="F255" s="845">
        <v>760</v>
      </c>
    </row>
    <row r="256" spans="1:6" s="825" customFormat="1" ht="14.25" customHeight="1" thickBot="1">
      <c r="A256" s="837" t="s">
        <v>530</v>
      </c>
      <c r="B256" s="831" t="s">
        <v>308</v>
      </c>
      <c r="C256" s="831">
        <v>3760</v>
      </c>
      <c r="D256" s="831">
        <v>3730</v>
      </c>
      <c r="E256" s="831">
        <v>3870</v>
      </c>
      <c r="F256" s="845">
        <v>830</v>
      </c>
    </row>
    <row r="257" spans="1:6" s="825" customFormat="1" ht="14.25" customHeight="1" thickBot="1">
      <c r="A257" s="837" t="s">
        <v>530</v>
      </c>
      <c r="B257" s="831" t="s">
        <v>318</v>
      </c>
      <c r="C257" s="831">
        <v>3570</v>
      </c>
      <c r="D257" s="831">
        <v>3540</v>
      </c>
      <c r="E257" s="831">
        <v>3650</v>
      </c>
      <c r="F257" s="845">
        <v>790</v>
      </c>
    </row>
    <row r="258" spans="1:6" s="825" customFormat="1" ht="14.25" customHeight="1" thickBot="1">
      <c r="A258" s="837" t="s">
        <v>530</v>
      </c>
      <c r="B258" s="831" t="s">
        <v>329</v>
      </c>
      <c r="C258" s="831">
        <v>3410</v>
      </c>
      <c r="D258" s="831">
        <v>3380</v>
      </c>
      <c r="E258" s="831">
        <v>3500</v>
      </c>
      <c r="F258" s="845">
        <v>830</v>
      </c>
    </row>
    <row r="259" spans="1:6" s="825" customFormat="1" ht="14.25" customHeight="1" thickBot="1">
      <c r="A259" s="837" t="s">
        <v>530</v>
      </c>
      <c r="B259" s="831" t="s">
        <v>340</v>
      </c>
      <c r="C259" s="831">
        <v>3870</v>
      </c>
      <c r="D259" s="831">
        <v>3840</v>
      </c>
      <c r="E259" s="831">
        <v>3970</v>
      </c>
      <c r="F259" s="845">
        <v>830</v>
      </c>
    </row>
    <row r="260" spans="1:6" s="825" customFormat="1" ht="14.25" customHeight="1" thickBot="1">
      <c r="A260" s="837" t="s">
        <v>530</v>
      </c>
      <c r="B260" s="831" t="s">
        <v>350</v>
      </c>
      <c r="C260" s="831">
        <v>3700</v>
      </c>
      <c r="D260" s="831">
        <v>3660</v>
      </c>
      <c r="E260" s="831">
        <v>3810</v>
      </c>
      <c r="F260" s="845">
        <v>790</v>
      </c>
    </row>
    <row r="261" spans="1:6" s="825" customFormat="1" ht="14.25" customHeight="1" thickBot="1">
      <c r="A261" s="837" t="s">
        <v>530</v>
      </c>
      <c r="B261" s="831" t="s">
        <v>360</v>
      </c>
      <c r="C261" s="831">
        <v>3470</v>
      </c>
      <c r="D261" s="831">
        <v>3430</v>
      </c>
      <c r="E261" s="831">
        <v>3640</v>
      </c>
      <c r="F261" s="845">
        <v>760</v>
      </c>
    </row>
    <row r="262" spans="1:6" s="825" customFormat="1" ht="14.25" customHeight="1" thickBot="1">
      <c r="A262" s="837" t="s">
        <v>530</v>
      </c>
      <c r="B262" s="831" t="s">
        <v>370</v>
      </c>
      <c r="C262" s="831">
        <v>3510</v>
      </c>
      <c r="D262" s="831">
        <v>3470</v>
      </c>
      <c r="E262" s="831">
        <v>3680</v>
      </c>
      <c r="F262" s="849"/>
    </row>
    <row r="263" spans="1:6" s="825" customFormat="1" ht="14.25" customHeight="1" thickBot="1">
      <c r="A263" s="837" t="s">
        <v>530</v>
      </c>
      <c r="B263" s="831" t="s">
        <v>380</v>
      </c>
      <c r="C263" s="831">
        <v>3960</v>
      </c>
      <c r="D263" s="831">
        <v>3930</v>
      </c>
      <c r="E263" s="831">
        <v>4070</v>
      </c>
      <c r="F263" s="845">
        <v>830</v>
      </c>
    </row>
    <row r="264" spans="1:6" s="825" customFormat="1" ht="14.25" customHeight="1" thickBot="1">
      <c r="A264" s="837" t="s">
        <v>530</v>
      </c>
      <c r="B264" s="831" t="s">
        <v>389</v>
      </c>
      <c r="C264" s="831">
        <v>4010</v>
      </c>
      <c r="D264" s="831">
        <v>3980</v>
      </c>
      <c r="E264" s="831">
        <v>4150</v>
      </c>
      <c r="F264" s="845">
        <v>760</v>
      </c>
    </row>
    <row r="265" spans="1:6" s="825" customFormat="1" ht="14.25" customHeight="1" thickBot="1">
      <c r="A265" s="837" t="s">
        <v>530</v>
      </c>
      <c r="B265" s="831" t="s">
        <v>398</v>
      </c>
      <c r="C265" s="831">
        <v>3910</v>
      </c>
      <c r="D265" s="831">
        <v>3890</v>
      </c>
      <c r="E265" s="831">
        <v>4040</v>
      </c>
      <c r="F265" s="845">
        <v>780</v>
      </c>
    </row>
    <row r="266" spans="1:6" s="825" customFormat="1" ht="14.25" customHeight="1" thickBot="1">
      <c r="A266" s="837" t="s">
        <v>530</v>
      </c>
      <c r="B266" s="831" t="s">
        <v>406</v>
      </c>
      <c r="C266" s="831">
        <v>3930</v>
      </c>
      <c r="D266" s="831">
        <v>3900</v>
      </c>
      <c r="E266" s="831">
        <v>4080</v>
      </c>
      <c r="F266" s="845">
        <v>770</v>
      </c>
    </row>
    <row r="267" spans="1:6" s="825" customFormat="1" ht="14.25" customHeight="1" thickBot="1">
      <c r="A267" s="837" t="s">
        <v>530</v>
      </c>
      <c r="B267" s="831" t="s">
        <v>413</v>
      </c>
      <c r="C267" s="831">
        <v>3800</v>
      </c>
      <c r="D267" s="831">
        <v>3780</v>
      </c>
      <c r="E267" s="831">
        <v>3930</v>
      </c>
      <c r="F267" s="849"/>
    </row>
    <row r="268" spans="1:6" s="825" customFormat="1" ht="14.25" customHeight="1" thickBot="1">
      <c r="A268" s="837" t="s">
        <v>530</v>
      </c>
      <c r="B268" s="831" t="s">
        <v>420</v>
      </c>
      <c r="C268" s="831">
        <v>3460</v>
      </c>
      <c r="D268" s="831">
        <v>3430</v>
      </c>
      <c r="E268" s="831">
        <v>3560</v>
      </c>
      <c r="F268" s="845">
        <v>840</v>
      </c>
    </row>
    <row r="269" spans="1:6" s="825" customFormat="1" ht="14.25" customHeight="1" thickBot="1">
      <c r="A269" s="837" t="s">
        <v>530</v>
      </c>
      <c r="B269" s="831" t="s">
        <v>427</v>
      </c>
      <c r="C269" s="831">
        <v>3210</v>
      </c>
      <c r="D269" s="831">
        <v>3190</v>
      </c>
      <c r="E269" s="831">
        <v>3310</v>
      </c>
      <c r="F269" s="845">
        <v>730</v>
      </c>
    </row>
    <row r="270" spans="1:6" s="825" customFormat="1" ht="14.25" customHeight="1" thickBot="1">
      <c r="A270" s="837" t="s">
        <v>530</v>
      </c>
      <c r="B270" s="831" t="s">
        <v>434</v>
      </c>
      <c r="C270" s="831">
        <v>3240</v>
      </c>
      <c r="D270" s="831">
        <v>3210</v>
      </c>
      <c r="E270" s="831">
        <v>3390</v>
      </c>
      <c r="F270" s="845">
        <v>820</v>
      </c>
    </row>
    <row r="271" spans="1:6" s="825" customFormat="1" ht="14.25" customHeight="1" thickBot="1">
      <c r="A271" s="837" t="s">
        <v>530</v>
      </c>
      <c r="B271" s="831" t="s">
        <v>441</v>
      </c>
      <c r="C271" s="831">
        <v>3300</v>
      </c>
      <c r="D271" s="831">
        <v>3270</v>
      </c>
      <c r="E271" s="831">
        <v>3380</v>
      </c>
      <c r="F271" s="845">
        <v>750</v>
      </c>
    </row>
    <row r="272" spans="1:6" s="825" customFormat="1" ht="14.25" customHeight="1" thickBot="1">
      <c r="A272" s="837" t="s">
        <v>530</v>
      </c>
      <c r="B272" s="831" t="s">
        <v>448</v>
      </c>
      <c r="C272" s="850"/>
      <c r="D272" s="850"/>
      <c r="E272" s="850"/>
      <c r="F272" s="845">
        <v>740</v>
      </c>
    </row>
    <row r="273" spans="1:6" s="825" customFormat="1" ht="14.25" customHeight="1" thickBot="1">
      <c r="A273" s="837" t="s">
        <v>530</v>
      </c>
      <c r="B273" s="831" t="s">
        <v>452</v>
      </c>
      <c r="C273" s="831">
        <v>3130</v>
      </c>
      <c r="D273" s="831">
        <v>3100</v>
      </c>
      <c r="E273" s="831">
        <v>3230</v>
      </c>
      <c r="F273" s="845">
        <v>700</v>
      </c>
    </row>
    <row r="274" spans="1:6" s="825" customFormat="1" ht="14.25" customHeight="1" thickBot="1">
      <c r="A274" s="837" t="s">
        <v>530</v>
      </c>
      <c r="B274" s="831" t="s">
        <v>457</v>
      </c>
      <c r="C274" s="831">
        <v>3460</v>
      </c>
      <c r="D274" s="831">
        <v>3430</v>
      </c>
      <c r="E274" s="831">
        <v>3560</v>
      </c>
      <c r="F274" s="845">
        <v>690</v>
      </c>
    </row>
    <row r="275" spans="1:6" s="825" customFormat="1" ht="14.25" customHeight="1" thickBot="1">
      <c r="A275" s="837" t="s">
        <v>530</v>
      </c>
      <c r="B275" s="831" t="s">
        <v>462</v>
      </c>
      <c r="C275" s="831">
        <v>4040</v>
      </c>
      <c r="D275" s="831">
        <v>4020</v>
      </c>
      <c r="E275" s="831">
        <v>4160</v>
      </c>
      <c r="F275" s="845">
        <v>820</v>
      </c>
    </row>
    <row r="276" spans="1:6" s="825" customFormat="1" ht="14.25" customHeight="1" thickBot="1">
      <c r="A276" s="837" t="s">
        <v>530</v>
      </c>
      <c r="B276" s="831" t="s">
        <v>467</v>
      </c>
      <c r="C276" s="831">
        <v>3270</v>
      </c>
      <c r="D276" s="831">
        <v>3240</v>
      </c>
      <c r="E276" s="831">
        <v>3350</v>
      </c>
      <c r="F276" s="845">
        <v>680</v>
      </c>
    </row>
    <row r="277" spans="1:6" s="825" customFormat="1" ht="14.25" customHeight="1" thickBot="1">
      <c r="A277" s="837" t="s">
        <v>530</v>
      </c>
      <c r="B277" s="831" t="s">
        <v>472</v>
      </c>
      <c r="C277" s="831">
        <v>2930</v>
      </c>
      <c r="D277" s="831">
        <v>2900</v>
      </c>
      <c r="E277" s="831">
        <v>3000</v>
      </c>
      <c r="F277" s="845">
        <v>640</v>
      </c>
    </row>
    <row r="278" spans="1:6" s="825" customFormat="1" ht="14.25" customHeight="1" thickBot="1">
      <c r="A278" s="837" t="s">
        <v>530</v>
      </c>
      <c r="B278" s="831" t="s">
        <v>477</v>
      </c>
      <c r="C278" s="831">
        <v>4080</v>
      </c>
      <c r="D278" s="831">
        <v>4030</v>
      </c>
      <c r="E278" s="831">
        <v>4140</v>
      </c>
      <c r="F278" s="845">
        <v>850</v>
      </c>
    </row>
    <row r="279" spans="1:6" s="825" customFormat="1" ht="14.25" customHeight="1" thickBot="1">
      <c r="A279" s="837" t="s">
        <v>530</v>
      </c>
      <c r="B279" s="831" t="s">
        <v>481</v>
      </c>
      <c r="C279" s="831"/>
      <c r="D279" s="831"/>
      <c r="E279" s="831"/>
      <c r="F279" s="845">
        <v>760</v>
      </c>
    </row>
    <row r="280" spans="1:6" s="825" customFormat="1" ht="14.25" customHeight="1" thickBot="1">
      <c r="A280" s="837" t="s">
        <v>530</v>
      </c>
      <c r="B280" s="831" t="s">
        <v>485</v>
      </c>
      <c r="C280" s="831"/>
      <c r="D280" s="831"/>
      <c r="E280" s="831"/>
      <c r="F280" s="845">
        <v>760</v>
      </c>
    </row>
    <row r="281" spans="1:6" s="825" customFormat="1" ht="14.25" customHeight="1" thickBot="1">
      <c r="A281" s="837" t="s">
        <v>530</v>
      </c>
      <c r="B281" s="831" t="s">
        <v>489</v>
      </c>
      <c r="C281" s="831"/>
      <c r="D281" s="831"/>
      <c r="E281" s="831"/>
      <c r="F281" s="845">
        <v>780</v>
      </c>
    </row>
    <row r="282" spans="1:6" s="825" customFormat="1" ht="14.25" customHeight="1" thickBot="1">
      <c r="A282" s="837" t="s">
        <v>530</v>
      </c>
      <c r="B282" s="831" t="s">
        <v>493</v>
      </c>
      <c r="C282" s="831"/>
      <c r="D282" s="831"/>
      <c r="E282" s="831"/>
      <c r="F282" s="845">
        <v>730</v>
      </c>
    </row>
    <row r="283" spans="1:6" s="825" customFormat="1" ht="14.25" customHeight="1" thickBot="1">
      <c r="A283" s="837" t="s">
        <v>530</v>
      </c>
      <c r="B283" s="831" t="s">
        <v>497</v>
      </c>
      <c r="C283" s="831"/>
      <c r="D283" s="831"/>
      <c r="E283" s="831"/>
      <c r="F283" s="845">
        <v>770</v>
      </c>
    </row>
    <row r="284" spans="1:6" s="825" customFormat="1" ht="14.25" customHeight="1" thickBot="1">
      <c r="A284" s="837" t="s">
        <v>530</v>
      </c>
      <c r="B284" s="831" t="s">
        <v>500</v>
      </c>
      <c r="C284" s="831"/>
      <c r="D284" s="831"/>
      <c r="E284" s="831"/>
      <c r="F284" s="845">
        <v>640</v>
      </c>
    </row>
    <row r="285" spans="1:6" s="825" customFormat="1" ht="14.25" customHeight="1" thickBot="1">
      <c r="A285" s="837" t="s">
        <v>530</v>
      </c>
      <c r="B285" s="831" t="s">
        <v>503</v>
      </c>
      <c r="C285" s="831"/>
      <c r="D285" s="831"/>
      <c r="E285" s="831"/>
      <c r="F285" s="845">
        <v>640</v>
      </c>
    </row>
    <row r="286" spans="1:6" s="825" customFormat="1" ht="14.25" customHeight="1" thickBot="1">
      <c r="A286" s="837" t="s">
        <v>530</v>
      </c>
      <c r="B286" s="831" t="s">
        <v>506</v>
      </c>
      <c r="C286" s="831"/>
      <c r="D286" s="831"/>
      <c r="E286" s="831"/>
      <c r="F286" s="845">
        <v>850</v>
      </c>
    </row>
    <row r="287" spans="1:6" s="825" customFormat="1" ht="14.25" customHeight="1" thickBot="1">
      <c r="A287" s="837" t="s">
        <v>530</v>
      </c>
      <c r="B287" s="831" t="s">
        <v>509</v>
      </c>
      <c r="C287" s="831"/>
      <c r="D287" s="831"/>
      <c r="E287" s="831"/>
      <c r="F287" s="845">
        <v>760</v>
      </c>
    </row>
    <row r="288" spans="1:6" s="825" customFormat="1" ht="14.25" customHeight="1" thickBot="1">
      <c r="A288" s="837" t="s">
        <v>530</v>
      </c>
      <c r="B288" s="831" t="s">
        <v>512</v>
      </c>
      <c r="C288" s="831"/>
      <c r="D288" s="831"/>
      <c r="E288" s="831"/>
      <c r="F288" s="845">
        <v>830</v>
      </c>
    </row>
    <row r="289" spans="1:6" s="825" customFormat="1" ht="14.25" customHeight="1" thickBot="1">
      <c r="A289" s="837" t="s">
        <v>530</v>
      </c>
      <c r="B289" s="843" t="s">
        <v>515</v>
      </c>
      <c r="C289" s="843"/>
      <c r="D289" s="843"/>
      <c r="E289" s="843"/>
      <c r="F289" s="848">
        <v>680</v>
      </c>
    </row>
    <row r="290" spans="1:6" s="825" customFormat="1" ht="14.25" customHeight="1" thickBot="1">
      <c r="A290" s="837" t="s">
        <v>534</v>
      </c>
      <c r="B290" s="838" t="s">
        <v>535</v>
      </c>
      <c r="C290" s="838">
        <v>2770</v>
      </c>
      <c r="D290" s="838">
        <v>2740</v>
      </c>
      <c r="E290" s="838">
        <v>2720</v>
      </c>
      <c r="F290" s="851"/>
    </row>
    <row r="291" spans="1:6" s="825" customFormat="1" ht="14.25" customHeight="1" thickBot="1">
      <c r="A291" s="837" t="s">
        <v>534</v>
      </c>
      <c r="B291" s="831" t="s">
        <v>196</v>
      </c>
      <c r="C291" s="831">
        <v>2670</v>
      </c>
      <c r="D291" s="831">
        <v>2640</v>
      </c>
      <c r="E291" s="831">
        <v>2620</v>
      </c>
      <c r="F291" s="849"/>
    </row>
    <row r="292" spans="1:6" s="825" customFormat="1" ht="14.25" customHeight="1" thickBot="1">
      <c r="A292" s="837" t="s">
        <v>534</v>
      </c>
      <c r="B292" s="831" t="s">
        <v>536</v>
      </c>
      <c r="C292" s="831">
        <v>2180</v>
      </c>
      <c r="D292" s="831">
        <v>2140</v>
      </c>
      <c r="E292" s="831">
        <v>2120</v>
      </c>
      <c r="F292" s="845">
        <v>490</v>
      </c>
    </row>
    <row r="293" spans="1:6" s="825" customFormat="1" ht="14.25" customHeight="1" thickBot="1">
      <c r="A293" s="837" t="s">
        <v>534</v>
      </c>
      <c r="B293" s="831" t="s">
        <v>537</v>
      </c>
      <c r="C293" s="831"/>
      <c r="D293" s="831"/>
      <c r="E293" s="831"/>
      <c r="F293" s="845">
        <v>470</v>
      </c>
    </row>
    <row r="294" spans="1:6" s="825" customFormat="1" ht="14.25" customHeight="1" thickBot="1">
      <c r="A294" s="837" t="s">
        <v>534</v>
      </c>
      <c r="B294" s="831" t="s">
        <v>538</v>
      </c>
      <c r="C294" s="831">
        <v>2730</v>
      </c>
      <c r="D294" s="831">
        <v>2700</v>
      </c>
      <c r="E294" s="831">
        <v>2680</v>
      </c>
      <c r="F294" s="845">
        <v>490</v>
      </c>
    </row>
    <row r="295" spans="1:6" s="825" customFormat="1" ht="14.25" customHeight="1" thickBot="1">
      <c r="A295" s="837" t="s">
        <v>534</v>
      </c>
      <c r="B295" s="831" t="s">
        <v>234</v>
      </c>
      <c r="C295" s="831">
        <v>2380</v>
      </c>
      <c r="D295" s="831">
        <v>2350</v>
      </c>
      <c r="E295" s="831">
        <v>2330</v>
      </c>
      <c r="F295" s="845">
        <v>530</v>
      </c>
    </row>
    <row r="296" spans="1:6" s="825" customFormat="1" ht="14.25" customHeight="1" thickBot="1">
      <c r="A296" s="837" t="s">
        <v>534</v>
      </c>
      <c r="B296" s="831" t="s">
        <v>245</v>
      </c>
      <c r="C296" s="831">
        <v>2650</v>
      </c>
      <c r="D296" s="831">
        <v>2620</v>
      </c>
      <c r="E296" s="831">
        <v>2590</v>
      </c>
      <c r="F296" s="845">
        <v>590</v>
      </c>
    </row>
    <row r="297" spans="1:6" s="825" customFormat="1" ht="14.25" customHeight="1" thickBot="1">
      <c r="A297" s="837" t="s">
        <v>534</v>
      </c>
      <c r="B297" s="831" t="s">
        <v>256</v>
      </c>
      <c r="C297" s="831">
        <v>2700</v>
      </c>
      <c r="D297" s="831">
        <v>2670</v>
      </c>
      <c r="E297" s="831">
        <v>2650</v>
      </c>
      <c r="F297" s="845">
        <v>630</v>
      </c>
    </row>
    <row r="298" spans="1:6" s="825" customFormat="1" ht="14.25" customHeight="1" thickBot="1">
      <c r="A298" s="837" t="s">
        <v>534</v>
      </c>
      <c r="B298" s="831" t="s">
        <v>267</v>
      </c>
      <c r="C298" s="831">
        <v>2650</v>
      </c>
      <c r="D298" s="831">
        <v>2620</v>
      </c>
      <c r="E298" s="831">
        <v>2590</v>
      </c>
      <c r="F298" s="845">
        <v>640</v>
      </c>
    </row>
    <row r="299" spans="1:6" s="825" customFormat="1" ht="14.25" customHeight="1" thickBot="1">
      <c r="A299" s="837" t="s">
        <v>534</v>
      </c>
      <c r="B299" s="831" t="s">
        <v>279</v>
      </c>
      <c r="C299" s="831">
        <v>2500</v>
      </c>
      <c r="D299" s="831">
        <v>2480</v>
      </c>
      <c r="E299" s="831">
        <v>2460</v>
      </c>
      <c r="F299" s="849"/>
    </row>
    <row r="300" spans="1:6" s="825" customFormat="1" ht="14.25" customHeight="1" thickBot="1">
      <c r="A300" s="837" t="s">
        <v>534</v>
      </c>
      <c r="B300" s="831" t="s">
        <v>289</v>
      </c>
      <c r="C300" s="831">
        <v>2760</v>
      </c>
      <c r="D300" s="831">
        <v>2730</v>
      </c>
      <c r="E300" s="831">
        <v>2700</v>
      </c>
      <c r="F300" s="845">
        <v>630</v>
      </c>
    </row>
    <row r="301" spans="1:6" s="825" customFormat="1" ht="14.25" customHeight="1" thickBot="1">
      <c r="A301" s="837" t="s">
        <v>534</v>
      </c>
      <c r="B301" s="831" t="s">
        <v>299</v>
      </c>
      <c r="C301" s="831">
        <v>2510</v>
      </c>
      <c r="D301" s="831">
        <v>2480</v>
      </c>
      <c r="E301" s="831">
        <v>2460</v>
      </c>
      <c r="F301" s="849"/>
    </row>
    <row r="302" spans="1:6" s="825" customFormat="1" ht="14.25" customHeight="1" thickBot="1">
      <c r="A302" s="837" t="s">
        <v>534</v>
      </c>
      <c r="B302" s="831" t="s">
        <v>309</v>
      </c>
      <c r="C302" s="831">
        <v>2480</v>
      </c>
      <c r="D302" s="831">
        <v>2450</v>
      </c>
      <c r="E302" s="831">
        <v>2420</v>
      </c>
      <c r="F302" s="845">
        <v>600</v>
      </c>
    </row>
    <row r="303" spans="1:6" s="825" customFormat="1" ht="14.25" customHeight="1" thickBot="1">
      <c r="A303" s="837" t="s">
        <v>534</v>
      </c>
      <c r="B303" s="831" t="s">
        <v>319</v>
      </c>
      <c r="C303" s="831">
        <v>2270</v>
      </c>
      <c r="D303" s="831">
        <v>2240</v>
      </c>
      <c r="E303" s="831">
        <v>2210</v>
      </c>
      <c r="F303" s="845">
        <v>540</v>
      </c>
    </row>
    <row r="304" spans="1:6" s="825" customFormat="1" ht="14.25" customHeight="1" thickBot="1">
      <c r="A304" s="837" t="s">
        <v>534</v>
      </c>
      <c r="B304" s="831" t="s">
        <v>330</v>
      </c>
      <c r="C304" s="831">
        <v>2310</v>
      </c>
      <c r="D304" s="831">
        <v>2290</v>
      </c>
      <c r="E304" s="831">
        <v>2270</v>
      </c>
      <c r="F304" s="849"/>
    </row>
    <row r="305" spans="1:6" s="825" customFormat="1" ht="14.25" customHeight="1" thickBot="1">
      <c r="A305" s="837" t="s">
        <v>534</v>
      </c>
      <c r="B305" s="831" t="s">
        <v>341</v>
      </c>
      <c r="C305" s="831">
        <v>2490</v>
      </c>
      <c r="D305" s="831">
        <v>2470</v>
      </c>
      <c r="E305" s="831">
        <v>2440</v>
      </c>
      <c r="F305" s="845">
        <v>560</v>
      </c>
    </row>
    <row r="306" spans="1:6" s="825" customFormat="1" ht="14.25" customHeight="1" thickBot="1">
      <c r="A306" s="837" t="s">
        <v>534</v>
      </c>
      <c r="B306" s="831" t="s">
        <v>351</v>
      </c>
      <c r="C306" s="831">
        <v>2420</v>
      </c>
      <c r="D306" s="831">
        <v>2400</v>
      </c>
      <c r="E306" s="831">
        <v>2380</v>
      </c>
      <c r="F306" s="849"/>
    </row>
    <row r="307" spans="1:6" s="825" customFormat="1" ht="14.25" customHeight="1" thickBot="1">
      <c r="A307" s="837" t="s">
        <v>534</v>
      </c>
      <c r="B307" s="831" t="s">
        <v>361</v>
      </c>
      <c r="C307" s="831">
        <v>2770</v>
      </c>
      <c r="D307" s="831">
        <v>2740</v>
      </c>
      <c r="E307" s="831">
        <v>2710</v>
      </c>
      <c r="F307" s="845">
        <v>650</v>
      </c>
    </row>
    <row r="308" spans="1:6" s="825" customFormat="1" ht="14.25" customHeight="1" thickBot="1">
      <c r="A308" s="837" t="s">
        <v>534</v>
      </c>
      <c r="B308" s="831" t="s">
        <v>371</v>
      </c>
      <c r="C308" s="831">
        <v>2610</v>
      </c>
      <c r="D308" s="831">
        <v>2580</v>
      </c>
      <c r="E308" s="831">
        <v>2550</v>
      </c>
      <c r="F308" s="845">
        <v>580</v>
      </c>
    </row>
    <row r="309" spans="1:6" s="825" customFormat="1" ht="14.25" customHeight="1" thickBot="1">
      <c r="A309" s="837" t="s">
        <v>534</v>
      </c>
      <c r="B309" s="831" t="s">
        <v>381</v>
      </c>
      <c r="C309" s="831">
        <v>2690</v>
      </c>
      <c r="D309" s="831">
        <v>2670</v>
      </c>
      <c r="E309" s="831">
        <v>2650</v>
      </c>
      <c r="F309" s="849"/>
    </row>
    <row r="310" spans="1:6" s="825" customFormat="1" ht="14.25" customHeight="1" thickBot="1">
      <c r="A310" s="837" t="s">
        <v>534</v>
      </c>
      <c r="B310" s="831" t="s">
        <v>390</v>
      </c>
      <c r="C310" s="831">
        <v>2360</v>
      </c>
      <c r="D310" s="831">
        <v>2330</v>
      </c>
      <c r="E310" s="831">
        <v>2310</v>
      </c>
      <c r="F310" s="845">
        <v>560</v>
      </c>
    </row>
    <row r="311" spans="1:6" s="825" customFormat="1" ht="14.25" customHeight="1" thickBot="1">
      <c r="A311" s="837" t="s">
        <v>534</v>
      </c>
      <c r="B311" s="831" t="s">
        <v>399</v>
      </c>
      <c r="C311" s="831">
        <v>1970</v>
      </c>
      <c r="D311" s="831">
        <v>1950</v>
      </c>
      <c r="E311" s="831">
        <v>1920</v>
      </c>
      <c r="F311" s="845">
        <v>470</v>
      </c>
    </row>
    <row r="312" spans="1:6" s="825" customFormat="1" ht="14.25" customHeight="1" thickBot="1">
      <c r="A312" s="837" t="s">
        <v>534</v>
      </c>
      <c r="B312" s="831" t="s">
        <v>407</v>
      </c>
      <c r="C312" s="831">
        <v>2230</v>
      </c>
      <c r="D312" s="831">
        <v>2200</v>
      </c>
      <c r="E312" s="831">
        <v>2170</v>
      </c>
      <c r="F312" s="845">
        <v>460</v>
      </c>
    </row>
    <row r="313" spans="1:6" s="825" customFormat="1" ht="14.25" customHeight="1" thickBot="1">
      <c r="A313" s="837" t="s">
        <v>534</v>
      </c>
      <c r="B313" s="831" t="s">
        <v>414</v>
      </c>
      <c r="C313" s="831">
        <v>2770</v>
      </c>
      <c r="D313" s="831">
        <v>2740</v>
      </c>
      <c r="E313" s="831">
        <v>2710</v>
      </c>
      <c r="F313" s="845">
        <v>610</v>
      </c>
    </row>
    <row r="314" spans="1:6" s="825" customFormat="1" ht="14.25" customHeight="1" thickBot="1">
      <c r="A314" s="837" t="s">
        <v>534</v>
      </c>
      <c r="B314" s="831" t="s">
        <v>421</v>
      </c>
      <c r="C314" s="831"/>
      <c r="D314" s="831"/>
      <c r="E314" s="831"/>
      <c r="F314" s="845">
        <v>490</v>
      </c>
    </row>
    <row r="315" spans="1:6" s="825" customFormat="1" ht="14.25" customHeight="1" thickBot="1">
      <c r="A315" s="837" t="s">
        <v>534</v>
      </c>
      <c r="B315" s="831" t="s">
        <v>428</v>
      </c>
      <c r="C315" s="831"/>
      <c r="D315" s="831"/>
      <c r="E315" s="831"/>
      <c r="F315" s="845">
        <v>520</v>
      </c>
    </row>
    <row r="316" spans="1:6" s="825" customFormat="1" ht="14.25" customHeight="1" thickBot="1">
      <c r="A316" s="837" t="s">
        <v>534</v>
      </c>
      <c r="B316" s="843" t="s">
        <v>435</v>
      </c>
      <c r="C316" s="843"/>
      <c r="D316" s="843"/>
      <c r="E316" s="843"/>
      <c r="F316" s="848">
        <v>460</v>
      </c>
    </row>
    <row r="317" spans="1:6" s="825" customFormat="1" ht="14.25" customHeight="1" thickBot="1">
      <c r="A317" s="837" t="s">
        <v>321</v>
      </c>
      <c r="B317" s="838" t="s">
        <v>539</v>
      </c>
      <c r="C317" s="838">
        <v>1200</v>
      </c>
      <c r="D317" s="838">
        <v>1180</v>
      </c>
      <c r="E317" s="838">
        <v>1160</v>
      </c>
      <c r="F317" s="839">
        <v>370</v>
      </c>
    </row>
    <row r="318" spans="1:6" s="825" customFormat="1" ht="14.25" customHeight="1" thickBot="1">
      <c r="A318" s="837" t="s">
        <v>321</v>
      </c>
      <c r="B318" s="831" t="s">
        <v>540</v>
      </c>
      <c r="C318" s="831">
        <v>1090</v>
      </c>
      <c r="D318" s="831">
        <v>1060</v>
      </c>
      <c r="E318" s="831">
        <v>1040</v>
      </c>
      <c r="F318" s="849"/>
    </row>
    <row r="319" spans="1:6" s="825" customFormat="1" ht="14.25" customHeight="1" thickBot="1">
      <c r="A319" s="837" t="s">
        <v>321</v>
      </c>
      <c r="B319" s="831" t="s">
        <v>541</v>
      </c>
      <c r="C319" s="831">
        <v>1520</v>
      </c>
      <c r="D319" s="831">
        <v>1470</v>
      </c>
      <c r="E319" s="831">
        <v>1440</v>
      </c>
      <c r="F319" s="845">
        <v>370</v>
      </c>
    </row>
    <row r="320" spans="1:6" s="825" customFormat="1" ht="14.25" customHeight="1" thickBot="1">
      <c r="A320" s="837" t="s">
        <v>321</v>
      </c>
      <c r="B320" s="831" t="s">
        <v>223</v>
      </c>
      <c r="C320" s="831">
        <v>1360</v>
      </c>
      <c r="D320" s="831">
        <v>1300</v>
      </c>
      <c r="E320" s="831">
        <v>1270</v>
      </c>
      <c r="F320" s="849"/>
    </row>
    <row r="321" spans="1:6" s="825" customFormat="1" ht="14.25" customHeight="1" thickBot="1">
      <c r="A321" s="837" t="s">
        <v>321</v>
      </c>
      <c r="B321" s="831" t="s">
        <v>235</v>
      </c>
      <c r="C321" s="831">
        <v>1750</v>
      </c>
      <c r="D321" s="831">
        <v>1690</v>
      </c>
      <c r="E321" s="831">
        <v>1660</v>
      </c>
      <c r="F321" s="849"/>
    </row>
    <row r="322" spans="1:6" s="825" customFormat="1" ht="14.25" customHeight="1" thickBot="1">
      <c r="A322" s="837" t="s">
        <v>321</v>
      </c>
      <c r="B322" s="831" t="s">
        <v>246</v>
      </c>
      <c r="C322" s="831">
        <v>1650</v>
      </c>
      <c r="D322" s="831">
        <v>1610</v>
      </c>
      <c r="E322" s="831">
        <v>1580</v>
      </c>
      <c r="F322" s="845">
        <v>500</v>
      </c>
    </row>
    <row r="323" spans="1:6" s="825" customFormat="1" ht="14.25" customHeight="1" thickBot="1">
      <c r="A323" s="837" t="s">
        <v>321</v>
      </c>
      <c r="B323" s="831" t="s">
        <v>257</v>
      </c>
      <c r="C323" s="831">
        <v>1780</v>
      </c>
      <c r="D323" s="831">
        <v>1740</v>
      </c>
      <c r="E323" s="831">
        <v>1720</v>
      </c>
      <c r="F323" s="849"/>
    </row>
    <row r="324" spans="1:6" s="825" customFormat="1" ht="14.25" customHeight="1" thickBot="1">
      <c r="A324" s="837" t="s">
        <v>321</v>
      </c>
      <c r="B324" s="831" t="s">
        <v>268</v>
      </c>
      <c r="C324" s="831">
        <v>1650</v>
      </c>
      <c r="D324" s="831">
        <v>1610</v>
      </c>
      <c r="E324" s="831">
        <v>1580</v>
      </c>
      <c r="F324" s="849"/>
    </row>
    <row r="325" spans="1:6" s="825" customFormat="1" ht="14.25" customHeight="1" thickBot="1">
      <c r="A325" s="837" t="s">
        <v>321</v>
      </c>
      <c r="B325" s="831" t="s">
        <v>280</v>
      </c>
      <c r="C325" s="831">
        <v>1330</v>
      </c>
      <c r="D325" s="831">
        <v>1270</v>
      </c>
      <c r="E325" s="831">
        <v>1240</v>
      </c>
      <c r="F325" s="845">
        <v>430</v>
      </c>
    </row>
    <row r="326" spans="1:6" s="825" customFormat="1" ht="14.25" customHeight="1" thickBot="1">
      <c r="A326" s="837" t="s">
        <v>321</v>
      </c>
      <c r="B326" s="831" t="s">
        <v>290</v>
      </c>
      <c r="C326" s="831">
        <v>1470</v>
      </c>
      <c r="D326" s="831">
        <v>1430</v>
      </c>
      <c r="E326" s="831">
        <v>1400</v>
      </c>
      <c r="F326" s="849"/>
    </row>
    <row r="327" spans="1:6" s="825" customFormat="1" ht="14.25" customHeight="1" thickBot="1">
      <c r="A327" s="837" t="s">
        <v>321</v>
      </c>
      <c r="B327" s="831" t="s">
        <v>300</v>
      </c>
      <c r="C327" s="831">
        <v>1420</v>
      </c>
      <c r="D327" s="831">
        <v>1380</v>
      </c>
      <c r="E327" s="831">
        <v>1360</v>
      </c>
      <c r="F327" s="845">
        <v>420</v>
      </c>
    </row>
    <row r="328" spans="1:6" s="825" customFormat="1" ht="14.25" customHeight="1" thickBot="1">
      <c r="A328" s="837" t="s">
        <v>321</v>
      </c>
      <c r="B328" s="831" t="s">
        <v>310</v>
      </c>
      <c r="C328" s="831">
        <v>1400</v>
      </c>
      <c r="D328" s="831">
        <v>1360</v>
      </c>
      <c r="E328" s="831">
        <v>1330</v>
      </c>
      <c r="F328" s="845">
        <v>460</v>
      </c>
    </row>
    <row r="329" spans="1:6" s="825" customFormat="1" ht="14.25" customHeight="1" thickBot="1">
      <c r="A329" s="837" t="s">
        <v>321</v>
      </c>
      <c r="B329" s="831" t="s">
        <v>320</v>
      </c>
      <c r="C329" s="831">
        <v>1640</v>
      </c>
      <c r="D329" s="831">
        <v>1610</v>
      </c>
      <c r="E329" s="831">
        <v>1580</v>
      </c>
      <c r="F329" s="845">
        <v>410</v>
      </c>
    </row>
    <row r="330" spans="1:6" s="825" customFormat="1" ht="14.25" customHeight="1" thickBot="1">
      <c r="A330" s="837" t="s">
        <v>321</v>
      </c>
      <c r="B330" s="831" t="s">
        <v>331</v>
      </c>
      <c r="C330" s="831">
        <v>1260</v>
      </c>
      <c r="D330" s="831">
        <v>1220</v>
      </c>
      <c r="E330" s="831">
        <v>1200</v>
      </c>
      <c r="F330" s="849"/>
    </row>
    <row r="331" spans="1:6" s="825" customFormat="1" ht="14.25" customHeight="1" thickBot="1">
      <c r="A331" s="837" t="s">
        <v>321</v>
      </c>
      <c r="B331" s="831" t="s">
        <v>342</v>
      </c>
      <c r="C331" s="831">
        <v>1620</v>
      </c>
      <c r="D331" s="831">
        <v>1560</v>
      </c>
      <c r="E331" s="831">
        <v>1530</v>
      </c>
      <c r="F331" s="845">
        <v>490</v>
      </c>
    </row>
    <row r="332" spans="1:6" s="825" customFormat="1" ht="14.25" customHeight="1" thickBot="1">
      <c r="A332" s="837" t="s">
        <v>321</v>
      </c>
      <c r="B332" s="831" t="s">
        <v>352</v>
      </c>
      <c r="C332" s="831">
        <v>1520</v>
      </c>
      <c r="D332" s="831">
        <v>1470</v>
      </c>
      <c r="E332" s="831">
        <v>1440</v>
      </c>
      <c r="F332" s="845">
        <v>440</v>
      </c>
    </row>
    <row r="333" spans="1:6" s="825" customFormat="1" ht="14.25" customHeight="1" thickBot="1">
      <c r="A333" s="837" t="s">
        <v>321</v>
      </c>
      <c r="B333" s="831" t="s">
        <v>362</v>
      </c>
      <c r="C333" s="831">
        <v>1370</v>
      </c>
      <c r="D333" s="831">
        <v>1320</v>
      </c>
      <c r="E333" s="831">
        <v>1300</v>
      </c>
      <c r="F333" s="845">
        <v>460</v>
      </c>
    </row>
    <row r="334" spans="1:6" s="825" customFormat="1" ht="14.25" customHeight="1" thickBot="1">
      <c r="A334" s="837" t="s">
        <v>321</v>
      </c>
      <c r="B334" s="831" t="s">
        <v>372</v>
      </c>
      <c r="C334" s="831">
        <v>1410</v>
      </c>
      <c r="D334" s="831">
        <v>1340</v>
      </c>
      <c r="E334" s="831">
        <v>1310</v>
      </c>
      <c r="F334" s="845">
        <v>410</v>
      </c>
    </row>
    <row r="335" spans="1:6" s="825" customFormat="1" ht="14.25" customHeight="1" thickBot="1">
      <c r="A335" s="837" t="s">
        <v>321</v>
      </c>
      <c r="B335" s="831" t="s">
        <v>382</v>
      </c>
      <c r="C335" s="831">
        <v>1260</v>
      </c>
      <c r="D335" s="831">
        <v>1220</v>
      </c>
      <c r="E335" s="831">
        <v>1200</v>
      </c>
      <c r="F335" s="849"/>
    </row>
    <row r="336" spans="1:6" s="825" customFormat="1" ht="14.25" customHeight="1" thickBot="1">
      <c r="A336" s="837" t="s">
        <v>321</v>
      </c>
      <c r="B336" s="831" t="s">
        <v>391</v>
      </c>
      <c r="C336" s="831">
        <v>1160</v>
      </c>
      <c r="D336" s="831">
        <v>1140</v>
      </c>
      <c r="E336" s="831">
        <v>1120</v>
      </c>
      <c r="F336" s="845">
        <v>430</v>
      </c>
    </row>
    <row r="337" spans="1:6" s="825" customFormat="1" ht="14.25" customHeight="1" thickBot="1">
      <c r="A337" s="837" t="s">
        <v>321</v>
      </c>
      <c r="B337" s="843" t="s">
        <v>400</v>
      </c>
      <c r="C337" s="843"/>
      <c r="D337" s="843"/>
      <c r="E337" s="843"/>
      <c r="F337" s="848">
        <v>380</v>
      </c>
    </row>
    <row r="338" spans="1:6" s="825" customFormat="1" ht="14.25" customHeight="1" thickBot="1">
      <c r="A338" s="837" t="s">
        <v>332</v>
      </c>
      <c r="B338" s="838" t="s">
        <v>542</v>
      </c>
      <c r="C338" s="838">
        <v>880</v>
      </c>
      <c r="D338" s="838">
        <v>850</v>
      </c>
      <c r="E338" s="838">
        <v>830</v>
      </c>
      <c r="F338" s="851"/>
    </row>
    <row r="339" spans="1:6" s="825" customFormat="1" ht="14.25" customHeight="1" thickBot="1">
      <c r="A339" s="837" t="s">
        <v>332</v>
      </c>
      <c r="B339" s="831" t="s">
        <v>543</v>
      </c>
      <c r="C339" s="831">
        <v>830</v>
      </c>
      <c r="D339" s="831">
        <v>800</v>
      </c>
      <c r="E339" s="831">
        <v>780</v>
      </c>
      <c r="F339" s="849"/>
    </row>
    <row r="340" spans="1:6" s="825" customFormat="1" ht="14.25" customHeight="1" thickBot="1">
      <c r="A340" s="837" t="s">
        <v>332</v>
      </c>
      <c r="B340" s="831" t="s">
        <v>544</v>
      </c>
      <c r="C340" s="831">
        <v>980</v>
      </c>
      <c r="D340" s="831">
        <v>950</v>
      </c>
      <c r="E340" s="831">
        <v>920</v>
      </c>
      <c r="F340" s="849"/>
    </row>
    <row r="341" spans="1:6" s="825" customFormat="1" ht="14.25" customHeight="1" thickBot="1">
      <c r="A341" s="837" t="s">
        <v>332</v>
      </c>
      <c r="B341" s="831" t="s">
        <v>545</v>
      </c>
      <c r="C341" s="831">
        <v>760</v>
      </c>
      <c r="D341" s="831">
        <v>720</v>
      </c>
      <c r="E341" s="831">
        <v>690</v>
      </c>
      <c r="F341" s="845">
        <v>350</v>
      </c>
    </row>
    <row r="342" spans="1:6" s="825" customFormat="1" ht="14.25" customHeight="1" thickBot="1">
      <c r="A342" s="837" t="s">
        <v>332</v>
      </c>
      <c r="B342" s="831" t="s">
        <v>236</v>
      </c>
      <c r="C342" s="831">
        <v>910</v>
      </c>
      <c r="D342" s="831">
        <v>870</v>
      </c>
      <c r="E342" s="831">
        <v>850</v>
      </c>
      <c r="F342" s="845">
        <v>370</v>
      </c>
    </row>
    <row r="343" spans="1:6" s="825" customFormat="1" ht="14.25" customHeight="1" thickBot="1">
      <c r="A343" s="837" t="s">
        <v>332</v>
      </c>
      <c r="B343" s="831" t="s">
        <v>247</v>
      </c>
      <c r="C343" s="831">
        <v>800</v>
      </c>
      <c r="D343" s="831">
        <v>760</v>
      </c>
      <c r="E343" s="831">
        <v>730</v>
      </c>
      <c r="F343" s="845">
        <v>340</v>
      </c>
    </row>
    <row r="344" spans="1:6" s="825" customFormat="1" ht="14.25" customHeight="1" thickBot="1">
      <c r="A344" s="837" t="s">
        <v>332</v>
      </c>
      <c r="B344" s="843" t="s">
        <v>258</v>
      </c>
      <c r="C344" s="843">
        <v>720</v>
      </c>
      <c r="D344" s="843">
        <v>690</v>
      </c>
      <c r="E344" s="843">
        <v>660</v>
      </c>
      <c r="F344" s="84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2" customWidth="1"/>
    <col min="2" max="2" width="10.25" style="810" customWidth="1"/>
  </cols>
  <sheetData>
    <row r="1" spans="1:6">
      <c r="A1" s="3451" t="s">
        <v>871</v>
      </c>
      <c r="B1" s="3451"/>
    </row>
    <row r="2" spans="1:6" ht="14.25" thickBot="1">
      <c r="A2" s="1057"/>
      <c r="B2" s="1057"/>
    </row>
    <row r="3" spans="1:6" ht="14.25" thickBot="1">
      <c r="A3" s="1057"/>
      <c r="B3" s="1057"/>
      <c r="C3" s="1061" t="s">
        <v>874</v>
      </c>
      <c r="D3" s="1061" t="s">
        <v>875</v>
      </c>
      <c r="E3" s="1061" t="s">
        <v>876</v>
      </c>
      <c r="F3" s="1061" t="s">
        <v>877</v>
      </c>
    </row>
    <row r="4" spans="1:6" ht="14.25" thickBot="1">
      <c r="A4" s="1059" t="s">
        <v>872</v>
      </c>
      <c r="B4" s="1060" t="s">
        <v>873</v>
      </c>
      <c r="C4" s="1061"/>
      <c r="D4" s="1061"/>
      <c r="E4" s="1061"/>
      <c r="F4" s="1061"/>
    </row>
    <row r="5" spans="1:6" ht="14.25" thickBot="1">
      <c r="A5" s="837" t="s">
        <v>878</v>
      </c>
      <c r="B5" s="838" t="s">
        <v>879</v>
      </c>
      <c r="C5" s="1062">
        <v>8.8999999999999996E-2</v>
      </c>
      <c r="D5" s="1062">
        <v>7.3999999999999996E-2</v>
      </c>
      <c r="E5" s="1062">
        <v>7.4999999999999997E-2</v>
      </c>
      <c r="F5" s="1063">
        <v>0.1</v>
      </c>
    </row>
    <row r="6" spans="1:6" ht="14.25" thickBot="1">
      <c r="A6" s="837" t="s">
        <v>212</v>
      </c>
      <c r="B6" s="831" t="s">
        <v>880</v>
      </c>
      <c r="C6" s="1064">
        <v>0.1</v>
      </c>
      <c r="D6" s="1064">
        <v>9.0999999999999998E-2</v>
      </c>
      <c r="E6" s="1064">
        <v>9.0999999999999998E-2</v>
      </c>
      <c r="F6" s="1065">
        <v>0.1</v>
      </c>
    </row>
    <row r="7" spans="1:6" ht="14.25" thickBot="1">
      <c r="A7" s="837" t="s">
        <v>212</v>
      </c>
      <c r="B7" s="841" t="s">
        <v>201</v>
      </c>
      <c r="C7" s="1064">
        <v>8.5999999999999993E-2</v>
      </c>
      <c r="D7" s="1064">
        <v>9.6000000000000002E-2</v>
      </c>
      <c r="E7" s="1064">
        <v>7.5999999999999998E-2</v>
      </c>
      <c r="F7" s="1065">
        <v>0.1</v>
      </c>
    </row>
    <row r="8" spans="1:6" ht="14.25" thickBot="1">
      <c r="A8" s="837" t="s">
        <v>212</v>
      </c>
      <c r="B8" s="831" t="s">
        <v>213</v>
      </c>
      <c r="C8" s="1064">
        <v>9.9000000000000005E-2</v>
      </c>
      <c r="D8" s="1064">
        <v>9.8000000000000004E-2</v>
      </c>
      <c r="E8" s="1064">
        <v>9.8000000000000004E-2</v>
      </c>
      <c r="F8" s="1065">
        <v>0.1</v>
      </c>
    </row>
    <row r="9" spans="1:6" ht="14.25" thickBot="1">
      <c r="A9" s="847" t="s">
        <v>212</v>
      </c>
      <c r="B9" s="842" t="s">
        <v>225</v>
      </c>
      <c r="C9" s="1066">
        <v>0.05</v>
      </c>
      <c r="D9" s="1074"/>
      <c r="E9" s="1074"/>
      <c r="F9" s="1075"/>
    </row>
    <row r="10" spans="1:6" ht="14.25" thickBot="1">
      <c r="A10" s="837" t="s">
        <v>269</v>
      </c>
      <c r="B10" s="838" t="s">
        <v>881</v>
      </c>
      <c r="C10" s="1062">
        <v>8.8999999999999996E-2</v>
      </c>
      <c r="D10" s="1062">
        <v>7.2999999999999995E-2</v>
      </c>
      <c r="E10" s="1062">
        <v>8.2000000000000003E-2</v>
      </c>
      <c r="F10" s="1063">
        <v>0.1</v>
      </c>
    </row>
    <row r="11" spans="1:6" ht="14.25" thickBot="1">
      <c r="A11" s="837" t="s">
        <v>269</v>
      </c>
      <c r="B11" s="841" t="s">
        <v>188</v>
      </c>
      <c r="C11" s="1064">
        <v>8.8999999999999996E-2</v>
      </c>
      <c r="D11" s="1064">
        <v>7.2999999999999995E-2</v>
      </c>
      <c r="E11" s="1064">
        <v>8.2000000000000003E-2</v>
      </c>
      <c r="F11" s="1065">
        <v>0.1</v>
      </c>
    </row>
    <row r="12" spans="1:6" ht="14.25" thickBot="1">
      <c r="A12" s="837" t="s">
        <v>269</v>
      </c>
      <c r="B12" s="841" t="s">
        <v>138</v>
      </c>
      <c r="C12" s="1064">
        <v>6.0999999999999999E-2</v>
      </c>
      <c r="D12" s="1064">
        <v>7.0999999999999994E-2</v>
      </c>
      <c r="E12" s="1064">
        <v>9.6000000000000002E-2</v>
      </c>
      <c r="F12" s="1065">
        <v>0.1</v>
      </c>
    </row>
    <row r="13" spans="1:6" ht="14.25" thickBot="1">
      <c r="A13" s="837" t="s">
        <v>269</v>
      </c>
      <c r="B13" s="841" t="s">
        <v>214</v>
      </c>
      <c r="C13" s="1064">
        <v>6.9000000000000006E-2</v>
      </c>
      <c r="D13" s="1064">
        <v>6.5000000000000002E-2</v>
      </c>
      <c r="E13" s="1064">
        <v>6.6000000000000003E-2</v>
      </c>
      <c r="F13" s="1065">
        <v>0.1</v>
      </c>
    </row>
    <row r="14" spans="1:6" ht="14.25" thickBot="1">
      <c r="A14" s="837" t="s">
        <v>269</v>
      </c>
      <c r="B14" s="841" t="s">
        <v>226</v>
      </c>
      <c r="C14" s="1064">
        <v>0.1</v>
      </c>
      <c r="D14" s="1064">
        <v>6.5000000000000002E-2</v>
      </c>
      <c r="E14" s="1064">
        <v>7.0000000000000007E-2</v>
      </c>
      <c r="F14" s="1065">
        <v>0.1</v>
      </c>
    </row>
    <row r="15" spans="1:6" ht="14.25" thickBot="1">
      <c r="A15" s="837" t="s">
        <v>269</v>
      </c>
      <c r="B15" s="841" t="s">
        <v>237</v>
      </c>
      <c r="C15" s="1064">
        <v>9.8000000000000004E-2</v>
      </c>
      <c r="D15" s="1064">
        <v>8.8999999999999996E-2</v>
      </c>
      <c r="E15" s="1064">
        <v>8.8999999999999996E-2</v>
      </c>
      <c r="F15" s="1065">
        <v>0.1</v>
      </c>
    </row>
    <row r="16" spans="1:6" ht="14.25" thickBot="1">
      <c r="A16" s="837" t="s">
        <v>269</v>
      </c>
      <c r="B16" s="841" t="s">
        <v>248</v>
      </c>
      <c r="C16" s="1064">
        <v>7.0000000000000007E-2</v>
      </c>
      <c r="D16" s="1064">
        <v>9.2999999999999999E-2</v>
      </c>
      <c r="E16" s="1064">
        <v>9.6000000000000002E-2</v>
      </c>
      <c r="F16" s="1065">
        <v>0.1</v>
      </c>
    </row>
    <row r="17" spans="1:6" ht="14.25" thickBot="1">
      <c r="A17" s="837" t="s">
        <v>269</v>
      </c>
      <c r="B17" s="841" t="s">
        <v>259</v>
      </c>
      <c r="C17" s="1064">
        <v>9.5000000000000001E-2</v>
      </c>
      <c r="D17" s="1064">
        <v>0.1</v>
      </c>
      <c r="E17" s="1064">
        <v>0.1</v>
      </c>
      <c r="F17" s="1076"/>
    </row>
    <row r="18" spans="1:6" ht="14.25" thickBot="1">
      <c r="A18" s="837" t="s">
        <v>269</v>
      </c>
      <c r="B18" s="841" t="s">
        <v>271</v>
      </c>
      <c r="C18" s="1064">
        <v>7.3999999999999996E-2</v>
      </c>
      <c r="D18" s="1064">
        <v>9.9000000000000005E-2</v>
      </c>
      <c r="E18" s="1064">
        <v>0.1</v>
      </c>
      <c r="F18" s="1076"/>
    </row>
    <row r="19" spans="1:6" ht="14.25" thickBot="1">
      <c r="A19" s="837" t="s">
        <v>269</v>
      </c>
      <c r="B19" s="841" t="s">
        <v>281</v>
      </c>
      <c r="C19" s="1064">
        <v>9.9000000000000005E-2</v>
      </c>
      <c r="D19" s="1064">
        <v>7.5999999999999998E-2</v>
      </c>
      <c r="E19" s="1064">
        <v>8.6999999999999994E-2</v>
      </c>
      <c r="F19" s="1076"/>
    </row>
    <row r="20" spans="1:6" ht="14.25" thickBot="1">
      <c r="A20" s="837" t="s">
        <v>269</v>
      </c>
      <c r="B20" s="841" t="s">
        <v>291</v>
      </c>
      <c r="C20" s="1064">
        <v>9.8000000000000004E-2</v>
      </c>
      <c r="D20" s="1064">
        <v>8.5000000000000006E-2</v>
      </c>
      <c r="E20" s="1064">
        <v>8.2000000000000003E-2</v>
      </c>
      <c r="F20" s="1076"/>
    </row>
    <row r="21" spans="1:6" ht="14.25" thickBot="1">
      <c r="A21" s="837" t="s">
        <v>269</v>
      </c>
      <c r="B21" s="841" t="s">
        <v>301</v>
      </c>
      <c r="C21" s="1064">
        <v>6.6000000000000003E-2</v>
      </c>
      <c r="D21" s="1064">
        <v>6.4000000000000001E-2</v>
      </c>
      <c r="E21" s="1064">
        <v>6.5000000000000002E-2</v>
      </c>
      <c r="F21" s="1076"/>
    </row>
    <row r="22" spans="1:6" ht="14.25" thickBot="1">
      <c r="A22" s="837" t="s">
        <v>269</v>
      </c>
      <c r="B22" s="841" t="s">
        <v>882</v>
      </c>
      <c r="C22" s="1064">
        <v>0.08</v>
      </c>
      <c r="D22" s="1064">
        <v>9.8000000000000004E-2</v>
      </c>
      <c r="E22" s="1064">
        <v>9.8000000000000004E-2</v>
      </c>
      <c r="F22" s="1076"/>
    </row>
    <row r="23" spans="1:6" ht="14.25" thickBot="1">
      <c r="A23" s="837" t="s">
        <v>269</v>
      </c>
      <c r="B23" s="841" t="s">
        <v>322</v>
      </c>
      <c r="C23" s="1064">
        <v>9.9000000000000005E-2</v>
      </c>
      <c r="D23" s="1064">
        <v>9.8000000000000004E-2</v>
      </c>
      <c r="E23" s="1064">
        <v>9.0999999999999998E-2</v>
      </c>
      <c r="F23" s="1076"/>
    </row>
    <row r="24" spans="1:6" ht="14.25" thickBot="1">
      <c r="A24" s="837" t="s">
        <v>269</v>
      </c>
      <c r="B24" s="841" t="s">
        <v>333</v>
      </c>
      <c r="C24" s="1064">
        <v>8.8999999999999996E-2</v>
      </c>
      <c r="D24" s="1064">
        <v>9.7000000000000003E-2</v>
      </c>
      <c r="E24" s="1064">
        <v>7.0000000000000007E-2</v>
      </c>
      <c r="F24" s="1076"/>
    </row>
    <row r="25" spans="1:6" ht="14.25" thickBot="1">
      <c r="A25" s="837" t="s">
        <v>269</v>
      </c>
      <c r="B25" s="841" t="s">
        <v>343</v>
      </c>
      <c r="C25" s="1064">
        <v>8.8999999999999996E-2</v>
      </c>
      <c r="D25" s="1064">
        <v>0.1</v>
      </c>
      <c r="E25" s="1064">
        <v>8.1000000000000003E-2</v>
      </c>
      <c r="F25" s="1076"/>
    </row>
    <row r="26" spans="1:6" ht="14.25" thickBot="1">
      <c r="A26" s="837" t="s">
        <v>269</v>
      </c>
      <c r="B26" s="841" t="s">
        <v>353</v>
      </c>
      <c r="C26" s="1077"/>
      <c r="D26" s="1064">
        <v>9.6000000000000002E-2</v>
      </c>
      <c r="E26" s="1064">
        <v>9.2999999999999999E-2</v>
      </c>
      <c r="F26" s="1076"/>
    </row>
    <row r="27" spans="1:6" ht="14.25" thickBot="1">
      <c r="A27" s="837" t="s">
        <v>269</v>
      </c>
      <c r="B27" s="841" t="s">
        <v>363</v>
      </c>
      <c r="C27" s="1077"/>
      <c r="D27" s="1064">
        <v>7.5999999999999998E-2</v>
      </c>
      <c r="E27" s="1064">
        <v>9.1999999999999998E-2</v>
      </c>
      <c r="F27" s="1076"/>
    </row>
    <row r="28" spans="1:6" ht="14.25" thickBot="1">
      <c r="A28" s="847" t="s">
        <v>269</v>
      </c>
      <c r="B28" s="842" t="s">
        <v>373</v>
      </c>
      <c r="C28" s="1074"/>
      <c r="D28" s="1066">
        <v>7.5999999999999998E-2</v>
      </c>
      <c r="E28" s="1066">
        <v>9.1999999999999998E-2</v>
      </c>
      <c r="F28" s="1075"/>
    </row>
    <row r="29" spans="1:6" ht="14.25" thickBot="1">
      <c r="A29" s="837" t="s">
        <v>442</v>
      </c>
      <c r="B29" s="838" t="s">
        <v>883</v>
      </c>
      <c r="C29" s="1062">
        <v>6.4000000000000001E-2</v>
      </c>
      <c r="D29" s="1062">
        <v>6.5000000000000002E-2</v>
      </c>
      <c r="E29" s="1062">
        <v>6.9000000000000006E-2</v>
      </c>
      <c r="F29" s="1063">
        <v>0.1</v>
      </c>
    </row>
    <row r="30" spans="1:6" ht="14.25" thickBot="1">
      <c r="A30" s="837" t="s">
        <v>442</v>
      </c>
      <c r="B30" s="841" t="s">
        <v>189</v>
      </c>
      <c r="C30" s="1064">
        <v>6.4000000000000001E-2</v>
      </c>
      <c r="D30" s="1064">
        <v>9.9000000000000005E-2</v>
      </c>
      <c r="E30" s="1064">
        <v>0.1</v>
      </c>
      <c r="F30" s="1065">
        <v>0.1</v>
      </c>
    </row>
    <row r="31" spans="1:6" ht="14.25" thickBot="1">
      <c r="A31" s="837" t="s">
        <v>442</v>
      </c>
      <c r="B31" s="841" t="s">
        <v>202</v>
      </c>
      <c r="C31" s="1064">
        <v>0.1</v>
      </c>
      <c r="D31" s="1064">
        <v>9.5000000000000001E-2</v>
      </c>
      <c r="E31" s="1064">
        <v>8.8999999999999996E-2</v>
      </c>
      <c r="F31" s="1065">
        <v>0.1</v>
      </c>
    </row>
    <row r="32" spans="1:6" ht="14.25" thickBot="1">
      <c r="A32" s="837" t="s">
        <v>442</v>
      </c>
      <c r="B32" s="841" t="s">
        <v>215</v>
      </c>
      <c r="C32" s="1064">
        <v>0.05</v>
      </c>
      <c r="D32" s="1064">
        <v>0.05</v>
      </c>
      <c r="E32" s="1064">
        <v>8.7999999999999995E-2</v>
      </c>
      <c r="F32" s="1065">
        <v>0.1</v>
      </c>
    </row>
    <row r="33" spans="1:6" ht="14.25" thickBot="1">
      <c r="A33" s="837" t="s">
        <v>442</v>
      </c>
      <c r="B33" s="841" t="s">
        <v>227</v>
      </c>
      <c r="C33" s="1064">
        <v>7.4999999999999997E-2</v>
      </c>
      <c r="D33" s="1064">
        <v>9.4E-2</v>
      </c>
      <c r="E33" s="1064">
        <v>9.7000000000000003E-2</v>
      </c>
      <c r="F33" s="1065">
        <v>0.1</v>
      </c>
    </row>
    <row r="34" spans="1:6" ht="14.25" thickBot="1">
      <c r="A34" s="837" t="s">
        <v>442</v>
      </c>
      <c r="B34" s="841" t="s">
        <v>238</v>
      </c>
      <c r="C34" s="1064">
        <v>9.8000000000000004E-2</v>
      </c>
      <c r="D34" s="1064">
        <v>8.5999999999999993E-2</v>
      </c>
      <c r="E34" s="1064">
        <v>9.7000000000000003E-2</v>
      </c>
      <c r="F34" s="1065">
        <v>0.1</v>
      </c>
    </row>
    <row r="35" spans="1:6" ht="14.25" thickBot="1">
      <c r="A35" s="837" t="s">
        <v>442</v>
      </c>
      <c r="B35" s="841" t="s">
        <v>249</v>
      </c>
      <c r="C35" s="1064">
        <v>5.8999999999999997E-2</v>
      </c>
      <c r="D35" s="1064">
        <v>6.5000000000000002E-2</v>
      </c>
      <c r="E35" s="1064">
        <v>7.0000000000000007E-2</v>
      </c>
      <c r="F35" s="1065">
        <v>0.1</v>
      </c>
    </row>
    <row r="36" spans="1:6" ht="14.25" thickBot="1">
      <c r="A36" s="837" t="s">
        <v>442</v>
      </c>
      <c r="B36" s="841" t="s">
        <v>260</v>
      </c>
      <c r="C36" s="1064">
        <v>6.3E-2</v>
      </c>
      <c r="D36" s="1064">
        <v>0.1</v>
      </c>
      <c r="E36" s="1064">
        <v>0.1</v>
      </c>
      <c r="F36" s="1065">
        <v>0.1</v>
      </c>
    </row>
    <row r="37" spans="1:6" ht="14.25" thickBot="1">
      <c r="A37" s="837" t="s">
        <v>442</v>
      </c>
      <c r="B37" s="841" t="s">
        <v>272</v>
      </c>
      <c r="C37" s="1064">
        <v>7.3999999999999996E-2</v>
      </c>
      <c r="D37" s="1064">
        <v>0.1</v>
      </c>
      <c r="E37" s="1064">
        <v>0.1</v>
      </c>
      <c r="F37" s="1065">
        <v>0.1</v>
      </c>
    </row>
    <row r="38" spans="1:6" ht="14.25" thickBot="1">
      <c r="A38" s="837" t="s">
        <v>442</v>
      </c>
      <c r="B38" s="841" t="s">
        <v>282</v>
      </c>
      <c r="C38" s="1064">
        <v>0.1</v>
      </c>
      <c r="D38" s="1064">
        <v>9.6000000000000002E-2</v>
      </c>
      <c r="E38" s="1064">
        <v>9.6000000000000002E-2</v>
      </c>
      <c r="F38" s="1076"/>
    </row>
    <row r="39" spans="1:6" ht="14.25" thickBot="1">
      <c r="A39" s="837" t="s">
        <v>442</v>
      </c>
      <c r="B39" s="841" t="s">
        <v>292</v>
      </c>
      <c r="C39" s="1064">
        <v>0.1</v>
      </c>
      <c r="D39" s="1064">
        <v>9.6000000000000002E-2</v>
      </c>
      <c r="E39" s="1064">
        <v>9.6000000000000002E-2</v>
      </c>
      <c r="F39" s="1076"/>
    </row>
    <row r="40" spans="1:6" ht="14.25" thickBot="1">
      <c r="A40" s="837" t="s">
        <v>442</v>
      </c>
      <c r="B40" s="841" t="s">
        <v>302</v>
      </c>
      <c r="C40" s="1064">
        <v>9.6000000000000002E-2</v>
      </c>
      <c r="D40" s="1064">
        <v>0.1</v>
      </c>
      <c r="E40" s="1064">
        <v>9.9000000000000005E-2</v>
      </c>
      <c r="F40" s="1076"/>
    </row>
    <row r="41" spans="1:6" ht="14.25" thickBot="1">
      <c r="A41" s="837" t="s">
        <v>442</v>
      </c>
      <c r="B41" s="841" t="s">
        <v>312</v>
      </c>
      <c r="C41" s="1064">
        <v>9.6000000000000002E-2</v>
      </c>
      <c r="D41" s="1064">
        <v>9.8000000000000004E-2</v>
      </c>
      <c r="E41" s="1064">
        <v>9.8000000000000004E-2</v>
      </c>
      <c r="F41" s="1076"/>
    </row>
    <row r="42" spans="1:6" ht="14.25" thickBot="1">
      <c r="A42" s="837" t="s">
        <v>442</v>
      </c>
      <c r="B42" s="841" t="s">
        <v>323</v>
      </c>
      <c r="C42" s="1064">
        <v>0.1</v>
      </c>
      <c r="D42" s="1064">
        <v>8.7999999999999995E-2</v>
      </c>
      <c r="E42" s="1064">
        <v>0.1</v>
      </c>
      <c r="F42" s="1076"/>
    </row>
    <row r="43" spans="1:6" ht="14.25" thickBot="1">
      <c r="A43" s="837" t="s">
        <v>442</v>
      </c>
      <c r="B43" s="841" t="s">
        <v>334</v>
      </c>
      <c r="C43" s="1064">
        <v>9.8000000000000004E-2</v>
      </c>
      <c r="D43" s="1064">
        <v>9.7000000000000003E-2</v>
      </c>
      <c r="E43" s="1064">
        <v>9.6000000000000002E-2</v>
      </c>
      <c r="F43" s="1076"/>
    </row>
    <row r="44" spans="1:6" ht="14.25" thickBot="1">
      <c r="A44" s="837" t="s">
        <v>442</v>
      </c>
      <c r="B44" s="841" t="s">
        <v>344</v>
      </c>
      <c r="C44" s="1064">
        <v>8.5999999999999993E-2</v>
      </c>
      <c r="D44" s="1064">
        <v>7.9000000000000001E-2</v>
      </c>
      <c r="E44" s="1064">
        <v>7.0999999999999994E-2</v>
      </c>
      <c r="F44" s="1076"/>
    </row>
    <row r="45" spans="1:6" ht="14.25" thickBot="1">
      <c r="A45" s="837" t="s">
        <v>442</v>
      </c>
      <c r="B45" s="841" t="s">
        <v>354</v>
      </c>
      <c r="C45" s="1064">
        <v>9.8000000000000004E-2</v>
      </c>
      <c r="D45" s="1064">
        <v>9.6000000000000002E-2</v>
      </c>
      <c r="E45" s="1064">
        <v>9.6000000000000002E-2</v>
      </c>
      <c r="F45" s="1076"/>
    </row>
    <row r="46" spans="1:6" ht="14.25" thickBot="1">
      <c r="A46" s="837" t="s">
        <v>442</v>
      </c>
      <c r="B46" s="841" t="s">
        <v>364</v>
      </c>
      <c r="C46" s="1064">
        <v>8.5999999999999993E-2</v>
      </c>
      <c r="D46" s="1064">
        <v>9.8000000000000004E-2</v>
      </c>
      <c r="E46" s="1064">
        <v>8.7999999999999995E-2</v>
      </c>
      <c r="F46" s="1076"/>
    </row>
    <row r="47" spans="1:6" ht="14.25" thickBot="1">
      <c r="A47" s="837" t="s">
        <v>442</v>
      </c>
      <c r="B47" s="841" t="s">
        <v>374</v>
      </c>
      <c r="C47" s="1064">
        <v>9.6000000000000002E-2</v>
      </c>
      <c r="D47" s="1077"/>
      <c r="E47" s="1064">
        <v>6.9000000000000006E-2</v>
      </c>
      <c r="F47" s="1076"/>
    </row>
    <row r="48" spans="1:6" ht="14.25" thickBot="1">
      <c r="A48" s="847" t="s">
        <v>442</v>
      </c>
      <c r="B48" s="842" t="s">
        <v>383</v>
      </c>
      <c r="C48" s="1066">
        <v>9.8000000000000004E-2</v>
      </c>
      <c r="D48" s="1074"/>
      <c r="E48" s="1066">
        <v>9.5000000000000001E-2</v>
      </c>
      <c r="F48" s="1075"/>
    </row>
    <row r="49" spans="1:6" ht="14.25" thickBot="1">
      <c r="A49" s="837" t="s">
        <v>137</v>
      </c>
      <c r="B49" s="838" t="s">
        <v>884</v>
      </c>
      <c r="C49" s="1062">
        <v>9.7000000000000003E-2</v>
      </c>
      <c r="D49" s="1062">
        <v>9.5000000000000001E-2</v>
      </c>
      <c r="E49" s="1062">
        <v>9.7000000000000003E-2</v>
      </c>
      <c r="F49" s="1063">
        <v>0.1</v>
      </c>
    </row>
    <row r="50" spans="1:6" ht="14.25" thickBot="1">
      <c r="A50" s="837" t="s">
        <v>137</v>
      </c>
      <c r="B50" s="831" t="s">
        <v>190</v>
      </c>
      <c r="C50" s="1064">
        <v>7.4999999999999997E-2</v>
      </c>
      <c r="D50" s="1064">
        <v>9.5000000000000001E-2</v>
      </c>
      <c r="E50" s="1064">
        <v>0.1</v>
      </c>
      <c r="F50" s="1065">
        <v>0.1</v>
      </c>
    </row>
    <row r="51" spans="1:6" ht="14.25" thickBot="1">
      <c r="A51" s="837" t="s">
        <v>137</v>
      </c>
      <c r="B51" s="831" t="s">
        <v>203</v>
      </c>
      <c r="C51" s="1064">
        <v>9.8000000000000004E-2</v>
      </c>
      <c r="D51" s="1064">
        <v>8.8999999999999996E-2</v>
      </c>
      <c r="E51" s="1064">
        <v>0.1</v>
      </c>
      <c r="F51" s="1065">
        <v>0.1</v>
      </c>
    </row>
    <row r="52" spans="1:6" ht="14.25" thickBot="1">
      <c r="A52" s="837" t="s">
        <v>137</v>
      </c>
      <c r="B52" s="831" t="s">
        <v>216</v>
      </c>
      <c r="C52" s="1064">
        <v>9.8000000000000004E-2</v>
      </c>
      <c r="D52" s="1064">
        <v>9.7000000000000003E-2</v>
      </c>
      <c r="E52" s="1064">
        <v>8.1000000000000003E-2</v>
      </c>
      <c r="F52" s="1065">
        <v>0.1</v>
      </c>
    </row>
    <row r="53" spans="1:6" ht="14.25" thickBot="1">
      <c r="A53" s="837" t="s">
        <v>137</v>
      </c>
      <c r="B53" s="831" t="s">
        <v>228</v>
      </c>
      <c r="C53" s="1064">
        <v>9.7000000000000003E-2</v>
      </c>
      <c r="D53" s="1064">
        <v>7.5999999999999998E-2</v>
      </c>
      <c r="E53" s="1064">
        <v>7.0999999999999994E-2</v>
      </c>
      <c r="F53" s="1065">
        <v>0.1</v>
      </c>
    </row>
    <row r="54" spans="1:6" ht="14.25" thickBot="1">
      <c r="A54" s="837" t="s">
        <v>137</v>
      </c>
      <c r="B54" s="831" t="s">
        <v>239</v>
      </c>
      <c r="C54" s="1064">
        <v>7.5999999999999998E-2</v>
      </c>
      <c r="D54" s="1064">
        <v>0.1</v>
      </c>
      <c r="E54" s="1064">
        <v>9.9000000000000005E-2</v>
      </c>
      <c r="F54" s="1065">
        <v>0.1</v>
      </c>
    </row>
    <row r="55" spans="1:6" ht="14.25" thickBot="1">
      <c r="A55" s="837" t="s">
        <v>137</v>
      </c>
      <c r="B55" s="831" t="s">
        <v>250</v>
      </c>
      <c r="C55" s="1064">
        <v>0.1</v>
      </c>
      <c r="D55" s="1064">
        <v>0.1</v>
      </c>
      <c r="E55" s="1064">
        <v>9.6000000000000002E-2</v>
      </c>
      <c r="F55" s="1065">
        <v>0.1</v>
      </c>
    </row>
    <row r="56" spans="1:6" ht="14.25" thickBot="1">
      <c r="A56" s="837" t="s">
        <v>137</v>
      </c>
      <c r="B56" s="831" t="s">
        <v>261</v>
      </c>
      <c r="C56" s="1064">
        <v>0.1</v>
      </c>
      <c r="D56" s="1064">
        <v>9.6000000000000002E-2</v>
      </c>
      <c r="E56" s="1064">
        <v>5.1999999999999998E-2</v>
      </c>
      <c r="F56" s="1065">
        <v>0.1</v>
      </c>
    </row>
    <row r="57" spans="1:6" ht="14.25" thickBot="1">
      <c r="A57" s="837" t="s">
        <v>137</v>
      </c>
      <c r="B57" s="831" t="s">
        <v>273</v>
      </c>
      <c r="C57" s="1064">
        <v>9.7000000000000003E-2</v>
      </c>
      <c r="D57" s="1064">
        <v>9.6000000000000002E-2</v>
      </c>
      <c r="E57" s="1064">
        <v>9.6000000000000002E-2</v>
      </c>
      <c r="F57" s="1065">
        <v>0.1</v>
      </c>
    </row>
    <row r="58" spans="1:6" ht="14.25" thickBot="1">
      <c r="A58" s="837" t="s">
        <v>137</v>
      </c>
      <c r="B58" s="831" t="s">
        <v>283</v>
      </c>
      <c r="C58" s="1064">
        <v>9.6000000000000002E-2</v>
      </c>
      <c r="D58" s="1064">
        <v>9.9000000000000005E-2</v>
      </c>
      <c r="E58" s="1064">
        <v>9.6000000000000002E-2</v>
      </c>
      <c r="F58" s="1065">
        <v>0.1</v>
      </c>
    </row>
    <row r="59" spans="1:6" ht="14.25" thickBot="1">
      <c r="A59" s="837" t="s">
        <v>137</v>
      </c>
      <c r="B59" s="831" t="s">
        <v>293</v>
      </c>
      <c r="C59" s="1064">
        <v>7.1999999999999995E-2</v>
      </c>
      <c r="D59" s="1064">
        <v>9.6000000000000002E-2</v>
      </c>
      <c r="E59" s="1064">
        <v>7.0999999999999994E-2</v>
      </c>
      <c r="F59" s="1065">
        <v>0.1</v>
      </c>
    </row>
    <row r="60" spans="1:6" ht="14.25" thickBot="1">
      <c r="A60" s="837" t="s">
        <v>137</v>
      </c>
      <c r="B60" s="831" t="s">
        <v>303</v>
      </c>
      <c r="C60" s="1064">
        <v>9.6000000000000002E-2</v>
      </c>
      <c r="D60" s="1064">
        <v>8.8999999999999996E-2</v>
      </c>
      <c r="E60" s="1064">
        <v>9.6000000000000002E-2</v>
      </c>
      <c r="F60" s="1065">
        <v>0.1</v>
      </c>
    </row>
    <row r="61" spans="1:6" ht="14.25" thickBot="1">
      <c r="A61" s="837" t="s">
        <v>137</v>
      </c>
      <c r="B61" s="831" t="s">
        <v>313</v>
      </c>
      <c r="C61" s="1064">
        <v>8.8999999999999996E-2</v>
      </c>
      <c r="D61" s="1064">
        <v>9.8000000000000004E-2</v>
      </c>
      <c r="E61" s="1064">
        <v>8.7999999999999995E-2</v>
      </c>
      <c r="F61" s="1076"/>
    </row>
    <row r="62" spans="1:6" ht="14.25" thickBot="1">
      <c r="A62" s="837" t="s">
        <v>137</v>
      </c>
      <c r="B62" s="831" t="s">
        <v>324</v>
      </c>
      <c r="C62" s="1064">
        <v>9.8000000000000004E-2</v>
      </c>
      <c r="D62" s="1064">
        <v>9.2999999999999999E-2</v>
      </c>
      <c r="E62" s="1064">
        <v>9.7000000000000003E-2</v>
      </c>
      <c r="F62" s="1076"/>
    </row>
    <row r="63" spans="1:6" ht="14.25" thickBot="1">
      <c r="A63" s="837" t="s">
        <v>137</v>
      </c>
      <c r="B63" s="831" t="s">
        <v>335</v>
      </c>
      <c r="C63" s="1064">
        <v>9.6000000000000002E-2</v>
      </c>
      <c r="D63" s="1064">
        <v>9.8000000000000004E-2</v>
      </c>
      <c r="E63" s="1064">
        <v>0.09</v>
      </c>
      <c r="F63" s="1076"/>
    </row>
    <row r="64" spans="1:6" ht="14.25" thickBot="1">
      <c r="A64" s="837" t="s">
        <v>137</v>
      </c>
      <c r="B64" s="831" t="s">
        <v>345</v>
      </c>
      <c r="C64" s="1064">
        <v>9.9000000000000005E-2</v>
      </c>
      <c r="D64" s="1064">
        <v>9.7000000000000003E-2</v>
      </c>
      <c r="E64" s="1064">
        <v>9.9000000000000005E-2</v>
      </c>
      <c r="F64" s="1076"/>
    </row>
    <row r="65" spans="1:6" ht="14.25" thickBot="1">
      <c r="A65" s="837" t="s">
        <v>137</v>
      </c>
      <c r="B65" s="831" t="s">
        <v>355</v>
      </c>
      <c r="C65" s="1064">
        <v>9.8000000000000004E-2</v>
      </c>
      <c r="D65" s="1064">
        <v>9.6000000000000002E-2</v>
      </c>
      <c r="E65" s="1064">
        <v>9.6000000000000002E-2</v>
      </c>
      <c r="F65" s="1076"/>
    </row>
    <row r="66" spans="1:6" ht="14.25" thickBot="1">
      <c r="A66" s="837" t="s">
        <v>137</v>
      </c>
      <c r="B66" s="831" t="s">
        <v>365</v>
      </c>
      <c r="C66" s="1064">
        <v>9.6000000000000002E-2</v>
      </c>
      <c r="D66" s="1064">
        <v>9.1999999999999998E-2</v>
      </c>
      <c r="E66" s="1064">
        <v>9.6000000000000002E-2</v>
      </c>
      <c r="F66" s="1076"/>
    </row>
    <row r="67" spans="1:6" ht="14.25" thickBot="1">
      <c r="A67" s="837" t="s">
        <v>137</v>
      </c>
      <c r="B67" s="831" t="s">
        <v>375</v>
      </c>
      <c r="C67" s="1064">
        <v>9.4E-2</v>
      </c>
      <c r="D67" s="1064">
        <v>0.1</v>
      </c>
      <c r="E67" s="1064">
        <v>8.7999999999999995E-2</v>
      </c>
      <c r="F67" s="1076"/>
    </row>
    <row r="68" spans="1:6" ht="14.25" thickBot="1">
      <c r="A68" s="837" t="s">
        <v>137</v>
      </c>
      <c r="B68" s="831" t="s">
        <v>384</v>
      </c>
      <c r="C68" s="1064">
        <v>0.1</v>
      </c>
      <c r="D68" s="1064">
        <v>8.7999999999999995E-2</v>
      </c>
      <c r="E68" s="1064">
        <v>9.7000000000000003E-2</v>
      </c>
      <c r="F68" s="1076"/>
    </row>
    <row r="69" spans="1:6" ht="14.25" thickBot="1">
      <c r="A69" s="837" t="s">
        <v>137</v>
      </c>
      <c r="B69" s="831" t="s">
        <v>393</v>
      </c>
      <c r="C69" s="1064">
        <v>6.4000000000000001E-2</v>
      </c>
      <c r="D69" s="1064">
        <v>0.1</v>
      </c>
      <c r="E69" s="1064">
        <v>0.1</v>
      </c>
      <c r="F69" s="1076"/>
    </row>
    <row r="70" spans="1:6" ht="14.25" thickBot="1">
      <c r="A70" s="837" t="s">
        <v>137</v>
      </c>
      <c r="B70" s="831" t="s">
        <v>401</v>
      </c>
      <c r="C70" s="1064">
        <v>9.0999999999999998E-2</v>
      </c>
      <c r="D70" s="1077"/>
      <c r="E70" s="1077"/>
      <c r="F70" s="1076"/>
    </row>
    <row r="71" spans="1:6" ht="14.25" thickBot="1">
      <c r="A71" s="837" t="s">
        <v>137</v>
      </c>
      <c r="B71" s="831" t="s">
        <v>408</v>
      </c>
      <c r="C71" s="1064">
        <v>0.1</v>
      </c>
      <c r="D71" s="1077"/>
      <c r="E71" s="1077"/>
      <c r="F71" s="1076"/>
    </row>
    <row r="72" spans="1:6" ht="14.25" thickBot="1">
      <c r="A72" s="837" t="s">
        <v>137</v>
      </c>
      <c r="B72" s="831" t="s">
        <v>885</v>
      </c>
      <c r="C72" s="1077"/>
      <c r="D72" s="1077"/>
      <c r="E72" s="1077"/>
      <c r="F72" s="1065">
        <v>0.05</v>
      </c>
    </row>
    <row r="73" spans="1:6" ht="14.25" thickBot="1">
      <c r="A73" s="837" t="s">
        <v>137</v>
      </c>
      <c r="B73" s="831" t="s">
        <v>886</v>
      </c>
      <c r="C73" s="1077"/>
      <c r="D73" s="1077"/>
      <c r="E73" s="1077"/>
      <c r="F73" s="1065">
        <v>0.05</v>
      </c>
    </row>
    <row r="74" spans="1:6" ht="14.25" thickBot="1">
      <c r="A74" s="837" t="s">
        <v>137</v>
      </c>
      <c r="B74" s="831" t="s">
        <v>887</v>
      </c>
      <c r="C74" s="1077"/>
      <c r="D74" s="1077"/>
      <c r="E74" s="1077"/>
      <c r="F74" s="1065">
        <v>0.05</v>
      </c>
    </row>
    <row r="75" spans="1:6" ht="14.25" thickBot="1">
      <c r="A75" s="847" t="s">
        <v>137</v>
      </c>
      <c r="B75" s="843" t="s">
        <v>888</v>
      </c>
      <c r="C75" s="1074"/>
      <c r="D75" s="1074"/>
      <c r="E75" s="1074"/>
      <c r="F75" s="1067">
        <v>0.05</v>
      </c>
    </row>
    <row r="76" spans="1:6" ht="14.25" thickBot="1">
      <c r="A76" s="837" t="s">
        <v>523</v>
      </c>
      <c r="B76" s="838" t="s">
        <v>889</v>
      </c>
      <c r="C76" s="1062">
        <v>0.1</v>
      </c>
      <c r="D76" s="1062">
        <v>0.1</v>
      </c>
      <c r="E76" s="1062">
        <v>0.1</v>
      </c>
      <c r="F76" s="1063">
        <v>0.1</v>
      </c>
    </row>
    <row r="77" spans="1:6" ht="14.25" thickBot="1">
      <c r="A77" s="837" t="s">
        <v>523</v>
      </c>
      <c r="B77" s="831" t="s">
        <v>191</v>
      </c>
      <c r="C77" s="1064">
        <v>8.7999999999999995E-2</v>
      </c>
      <c r="D77" s="1064">
        <v>8.6999999999999994E-2</v>
      </c>
      <c r="E77" s="1064">
        <v>7.9000000000000001E-2</v>
      </c>
      <c r="F77" s="1065">
        <v>0.1</v>
      </c>
    </row>
    <row r="78" spans="1:6" ht="14.25" thickBot="1">
      <c r="A78" s="837" t="s">
        <v>523</v>
      </c>
      <c r="B78" s="831" t="s">
        <v>204</v>
      </c>
      <c r="C78" s="1064">
        <v>8.6999999999999994E-2</v>
      </c>
      <c r="D78" s="1064">
        <v>8.4000000000000005E-2</v>
      </c>
      <c r="E78" s="1064">
        <v>9.6000000000000002E-2</v>
      </c>
      <c r="F78" s="1065">
        <v>0.1</v>
      </c>
    </row>
    <row r="79" spans="1:6" ht="14.25" thickBot="1">
      <c r="A79" s="837" t="s">
        <v>523</v>
      </c>
      <c r="B79" s="831" t="s">
        <v>217</v>
      </c>
      <c r="C79" s="1064">
        <v>9.8000000000000004E-2</v>
      </c>
      <c r="D79" s="1064">
        <v>9.8000000000000004E-2</v>
      </c>
      <c r="E79" s="1064">
        <v>9.0999999999999998E-2</v>
      </c>
      <c r="F79" s="1065">
        <v>0.1</v>
      </c>
    </row>
    <row r="80" spans="1:6" ht="14.25" thickBot="1">
      <c r="A80" s="837" t="s">
        <v>523</v>
      </c>
      <c r="B80" s="831" t="s">
        <v>229</v>
      </c>
      <c r="C80" s="1064">
        <v>9.6000000000000002E-2</v>
      </c>
      <c r="D80" s="1064">
        <v>9.6000000000000002E-2</v>
      </c>
      <c r="E80" s="1064">
        <v>0.1</v>
      </c>
      <c r="F80" s="1065">
        <v>0.1</v>
      </c>
    </row>
    <row r="81" spans="1:6" ht="14.25" thickBot="1">
      <c r="A81" s="837" t="s">
        <v>523</v>
      </c>
      <c r="B81" s="831" t="s">
        <v>240</v>
      </c>
      <c r="C81" s="1064">
        <v>9.9000000000000005E-2</v>
      </c>
      <c r="D81" s="1064">
        <v>9.9000000000000005E-2</v>
      </c>
      <c r="E81" s="1064">
        <v>9.8000000000000004E-2</v>
      </c>
      <c r="F81" s="1065">
        <v>0.1</v>
      </c>
    </row>
    <row r="82" spans="1:6" ht="14.25" thickBot="1">
      <c r="A82" s="837" t="s">
        <v>523</v>
      </c>
      <c r="B82" s="831" t="s">
        <v>251</v>
      </c>
      <c r="C82" s="1064">
        <v>9.9000000000000005E-2</v>
      </c>
      <c r="D82" s="1064">
        <v>9.9000000000000005E-2</v>
      </c>
      <c r="E82" s="1064">
        <v>9.7000000000000003E-2</v>
      </c>
      <c r="F82" s="1065">
        <v>0.1</v>
      </c>
    </row>
    <row r="83" spans="1:6" ht="14.25" thickBot="1">
      <c r="A83" s="837" t="s">
        <v>523</v>
      </c>
      <c r="B83" s="831" t="s">
        <v>262</v>
      </c>
      <c r="C83" s="1064">
        <v>9.8000000000000004E-2</v>
      </c>
      <c r="D83" s="1064">
        <v>9.8000000000000004E-2</v>
      </c>
      <c r="E83" s="1064">
        <v>9.8000000000000004E-2</v>
      </c>
      <c r="F83" s="1065">
        <v>0.1</v>
      </c>
    </row>
    <row r="84" spans="1:6" ht="14.25" thickBot="1">
      <c r="A84" s="837" t="s">
        <v>523</v>
      </c>
      <c r="B84" s="831" t="s">
        <v>274</v>
      </c>
      <c r="C84" s="1064">
        <v>9.9000000000000005E-2</v>
      </c>
      <c r="D84" s="1064">
        <v>9.9000000000000005E-2</v>
      </c>
      <c r="E84" s="1064">
        <v>9.9000000000000005E-2</v>
      </c>
      <c r="F84" s="1065">
        <v>0.1</v>
      </c>
    </row>
    <row r="85" spans="1:6" ht="14.25" thickBot="1">
      <c r="A85" s="837" t="s">
        <v>523</v>
      </c>
      <c r="B85" s="831" t="s">
        <v>284</v>
      </c>
      <c r="C85" s="1064">
        <v>9.9000000000000005E-2</v>
      </c>
      <c r="D85" s="1064">
        <v>9.9000000000000005E-2</v>
      </c>
      <c r="E85" s="1064">
        <v>9.9000000000000005E-2</v>
      </c>
      <c r="F85" s="1065">
        <v>0.1</v>
      </c>
    </row>
    <row r="86" spans="1:6" ht="14.25" thickBot="1">
      <c r="A86" s="837" t="s">
        <v>523</v>
      </c>
      <c r="B86" s="831" t="s">
        <v>294</v>
      </c>
      <c r="C86" s="1064">
        <v>0.1</v>
      </c>
      <c r="D86" s="1064">
        <v>0.1</v>
      </c>
      <c r="E86" s="1064">
        <v>7.6999999999999999E-2</v>
      </c>
      <c r="F86" s="1065">
        <v>0.1</v>
      </c>
    </row>
    <row r="87" spans="1:6" ht="14.25" thickBot="1">
      <c r="A87" s="837" t="s">
        <v>523</v>
      </c>
      <c r="B87" s="831" t="s">
        <v>304</v>
      </c>
      <c r="C87" s="1064">
        <v>0.1</v>
      </c>
      <c r="D87" s="1064">
        <v>0.1</v>
      </c>
      <c r="E87" s="1064">
        <v>9.8000000000000004E-2</v>
      </c>
      <c r="F87" s="1076"/>
    </row>
    <row r="88" spans="1:6" ht="14.25" thickBot="1">
      <c r="A88" s="837" t="s">
        <v>523</v>
      </c>
      <c r="B88" s="831" t="s">
        <v>314</v>
      </c>
      <c r="C88" s="1064">
        <v>9.1999999999999998E-2</v>
      </c>
      <c r="D88" s="1064">
        <v>8.5000000000000006E-2</v>
      </c>
      <c r="E88" s="1064">
        <v>9.6000000000000002E-2</v>
      </c>
      <c r="F88" s="1076"/>
    </row>
    <row r="89" spans="1:6" ht="14.25" thickBot="1">
      <c r="A89" s="837" t="s">
        <v>523</v>
      </c>
      <c r="B89" s="831" t="s">
        <v>325</v>
      </c>
      <c r="C89" s="1064">
        <v>0.1</v>
      </c>
      <c r="D89" s="1064">
        <v>0.1</v>
      </c>
      <c r="E89" s="1064">
        <v>9.7000000000000003E-2</v>
      </c>
      <c r="F89" s="1076"/>
    </row>
    <row r="90" spans="1:6" ht="14.25" thickBot="1">
      <c r="A90" s="837" t="s">
        <v>523</v>
      </c>
      <c r="B90" s="831" t="s">
        <v>336</v>
      </c>
      <c r="C90" s="1064">
        <v>9.8000000000000004E-2</v>
      </c>
      <c r="D90" s="1064">
        <v>9.8000000000000004E-2</v>
      </c>
      <c r="E90" s="1064">
        <v>8.7999999999999995E-2</v>
      </c>
      <c r="F90" s="1076"/>
    </row>
    <row r="91" spans="1:6" ht="14.25" thickBot="1">
      <c r="A91" s="837" t="s">
        <v>523</v>
      </c>
      <c r="B91" s="831" t="s">
        <v>346</v>
      </c>
      <c r="C91" s="1064">
        <v>9.9000000000000005E-2</v>
      </c>
      <c r="D91" s="1064">
        <v>9.9000000000000005E-2</v>
      </c>
      <c r="E91" s="1064">
        <v>9.0999999999999998E-2</v>
      </c>
      <c r="F91" s="1076"/>
    </row>
    <row r="92" spans="1:6" ht="14.25" thickBot="1">
      <c r="A92" s="837" t="s">
        <v>523</v>
      </c>
      <c r="B92" s="831" t="s">
        <v>356</v>
      </c>
      <c r="C92" s="1064">
        <v>9.6000000000000002E-2</v>
      </c>
      <c r="D92" s="1064">
        <v>9.6000000000000002E-2</v>
      </c>
      <c r="E92" s="1064">
        <v>7.2999999999999995E-2</v>
      </c>
      <c r="F92" s="1076"/>
    </row>
    <row r="93" spans="1:6" ht="14.25" thickBot="1">
      <c r="A93" s="837" t="s">
        <v>523</v>
      </c>
      <c r="B93" s="831" t="s">
        <v>366</v>
      </c>
      <c r="C93" s="1064">
        <v>9.6000000000000002E-2</v>
      </c>
      <c r="D93" s="1064">
        <v>9.6000000000000002E-2</v>
      </c>
      <c r="E93" s="1064">
        <v>9.9000000000000005E-2</v>
      </c>
      <c r="F93" s="1076"/>
    </row>
    <row r="94" spans="1:6" ht="14.25" thickBot="1">
      <c r="A94" s="837" t="s">
        <v>523</v>
      </c>
      <c r="B94" s="831" t="s">
        <v>376</v>
      </c>
      <c r="C94" s="1064">
        <v>7.5999999999999998E-2</v>
      </c>
      <c r="D94" s="1064">
        <v>7.3999999999999996E-2</v>
      </c>
      <c r="E94" s="1064">
        <v>9.7000000000000003E-2</v>
      </c>
      <c r="F94" s="1076"/>
    </row>
    <row r="95" spans="1:6" ht="14.25" thickBot="1">
      <c r="A95" s="837" t="s">
        <v>523</v>
      </c>
      <c r="B95" s="831" t="s">
        <v>385</v>
      </c>
      <c r="C95" s="1064">
        <v>9.9000000000000005E-2</v>
      </c>
      <c r="D95" s="1064">
        <v>9.4E-2</v>
      </c>
      <c r="E95" s="1064">
        <v>9.6000000000000002E-2</v>
      </c>
      <c r="F95" s="1076"/>
    </row>
    <row r="96" spans="1:6" ht="14.25" thickBot="1">
      <c r="A96" s="837" t="s">
        <v>523</v>
      </c>
      <c r="B96" s="831" t="s">
        <v>394</v>
      </c>
      <c r="C96" s="1064">
        <v>9.9000000000000005E-2</v>
      </c>
      <c r="D96" s="1064">
        <v>9.9000000000000005E-2</v>
      </c>
      <c r="E96" s="1064">
        <v>9.9000000000000005E-2</v>
      </c>
      <c r="F96" s="1076"/>
    </row>
    <row r="97" spans="1:6" ht="14.25" thickBot="1">
      <c r="A97" s="837" t="s">
        <v>523</v>
      </c>
      <c r="B97" s="831" t="s">
        <v>402</v>
      </c>
      <c r="C97" s="1064">
        <v>9.8000000000000004E-2</v>
      </c>
      <c r="D97" s="1064">
        <v>9.8000000000000004E-2</v>
      </c>
      <c r="E97" s="1064">
        <v>9.7000000000000003E-2</v>
      </c>
      <c r="F97" s="1076"/>
    </row>
    <row r="98" spans="1:6" ht="14.25" thickBot="1">
      <c r="A98" s="837" t="s">
        <v>523</v>
      </c>
      <c r="B98" s="831" t="s">
        <v>409</v>
      </c>
      <c r="C98" s="1064">
        <v>0.1</v>
      </c>
      <c r="D98" s="1064">
        <v>0.1</v>
      </c>
      <c r="E98" s="1064">
        <v>9.7000000000000003E-2</v>
      </c>
      <c r="F98" s="1076"/>
    </row>
    <row r="99" spans="1:6" ht="14.25" thickBot="1">
      <c r="A99" s="837" t="s">
        <v>523</v>
      </c>
      <c r="B99" s="831" t="s">
        <v>416</v>
      </c>
      <c r="C99" s="1064">
        <v>0.1</v>
      </c>
      <c r="D99" s="1064">
        <v>0.1</v>
      </c>
      <c r="E99" s="1077"/>
      <c r="F99" s="1076"/>
    </row>
    <row r="100" spans="1:6" ht="14.25" thickBot="1">
      <c r="A100" s="837" t="s">
        <v>523</v>
      </c>
      <c r="B100" s="831" t="s">
        <v>423</v>
      </c>
      <c r="C100" s="1064">
        <v>0.09</v>
      </c>
      <c r="D100" s="1064">
        <v>8.8999999999999996E-2</v>
      </c>
      <c r="E100" s="1077"/>
      <c r="F100" s="1076"/>
    </row>
    <row r="101" spans="1:6" ht="14.25" thickBot="1">
      <c r="A101" s="837" t="s">
        <v>523</v>
      </c>
      <c r="B101" s="831" t="s">
        <v>430</v>
      </c>
      <c r="C101" s="1064">
        <v>9.8000000000000004E-2</v>
      </c>
      <c r="D101" s="1064">
        <v>9.7000000000000003E-2</v>
      </c>
      <c r="E101" s="1077"/>
      <c r="F101" s="1076"/>
    </row>
    <row r="102" spans="1:6" ht="14.25" thickBot="1">
      <c r="A102" s="837" t="s">
        <v>523</v>
      </c>
      <c r="B102" s="831" t="s">
        <v>890</v>
      </c>
      <c r="C102" s="1077"/>
      <c r="D102" s="1077"/>
      <c r="E102" s="1077"/>
      <c r="F102" s="1065">
        <v>0.05</v>
      </c>
    </row>
    <row r="103" spans="1:6" ht="24.75" thickBot="1">
      <c r="A103" s="837" t="s">
        <v>523</v>
      </c>
      <c r="B103" s="831" t="s">
        <v>891</v>
      </c>
      <c r="C103" s="1077"/>
      <c r="D103" s="1077"/>
      <c r="E103" s="1077"/>
      <c r="F103" s="1065">
        <v>0.05</v>
      </c>
    </row>
    <row r="104" spans="1:6" ht="14.25" thickBot="1">
      <c r="A104" s="837" t="s">
        <v>523</v>
      </c>
      <c r="B104" s="831" t="s">
        <v>892</v>
      </c>
      <c r="C104" s="1077"/>
      <c r="D104" s="1077"/>
      <c r="E104" s="1077"/>
      <c r="F104" s="1065">
        <v>0.05</v>
      </c>
    </row>
    <row r="105" spans="1:6" ht="14.25" thickBot="1">
      <c r="A105" s="837" t="s">
        <v>523</v>
      </c>
      <c r="B105" s="831" t="s">
        <v>893</v>
      </c>
      <c r="C105" s="1077"/>
      <c r="D105" s="1077"/>
      <c r="E105" s="1077"/>
      <c r="F105" s="1065">
        <v>0.05</v>
      </c>
    </row>
    <row r="106" spans="1:6" ht="14.25" thickBot="1">
      <c r="A106" s="837" t="s">
        <v>523</v>
      </c>
      <c r="B106" s="831" t="s">
        <v>894</v>
      </c>
      <c r="C106" s="1077"/>
      <c r="D106" s="1077"/>
      <c r="E106" s="1077"/>
      <c r="F106" s="1065">
        <v>0.05</v>
      </c>
    </row>
    <row r="107" spans="1:6" ht="24.75" thickBot="1">
      <c r="A107" s="837" t="s">
        <v>523</v>
      </c>
      <c r="B107" s="831" t="s">
        <v>895</v>
      </c>
      <c r="C107" s="1077"/>
      <c r="D107" s="1077"/>
      <c r="E107" s="1077"/>
      <c r="F107" s="1065">
        <v>0.05</v>
      </c>
    </row>
    <row r="108" spans="1:6" ht="24.75" thickBot="1">
      <c r="A108" s="837" t="s">
        <v>523</v>
      </c>
      <c r="B108" s="831" t="s">
        <v>896</v>
      </c>
      <c r="C108" s="1077"/>
      <c r="D108" s="1077"/>
      <c r="E108" s="1077"/>
      <c r="F108" s="1065">
        <v>0.05</v>
      </c>
    </row>
    <row r="109" spans="1:6" ht="24.75" thickBot="1">
      <c r="A109" s="847" t="s">
        <v>523</v>
      </c>
      <c r="B109" s="843" t="s">
        <v>897</v>
      </c>
      <c r="C109" s="1074"/>
      <c r="D109" s="1074"/>
      <c r="E109" s="1074"/>
      <c r="F109" s="1067">
        <v>0.05</v>
      </c>
    </row>
    <row r="110" spans="1:6" ht="14.25" thickBot="1">
      <c r="A110" s="837" t="s">
        <v>56</v>
      </c>
      <c r="B110" s="838" t="s">
        <v>898</v>
      </c>
      <c r="C110" s="1062">
        <v>0.129</v>
      </c>
      <c r="D110" s="1062">
        <v>0.129</v>
      </c>
      <c r="E110" s="1062">
        <v>0.126</v>
      </c>
      <c r="F110" s="1063">
        <v>0.13</v>
      </c>
    </row>
    <row r="111" spans="1:6" ht="14.25" thickBot="1">
      <c r="A111" s="837" t="s">
        <v>56</v>
      </c>
      <c r="B111" s="831" t="s">
        <v>192</v>
      </c>
      <c r="C111" s="1064">
        <v>0.11</v>
      </c>
      <c r="D111" s="1064">
        <v>0.11</v>
      </c>
      <c r="E111" s="1064">
        <v>9.9000000000000005E-2</v>
      </c>
      <c r="F111" s="1065">
        <v>0.128</v>
      </c>
    </row>
    <row r="112" spans="1:6" ht="14.25" thickBot="1">
      <c r="A112" s="837" t="s">
        <v>56</v>
      </c>
      <c r="B112" s="831" t="s">
        <v>205</v>
      </c>
      <c r="C112" s="1064">
        <v>0.125</v>
      </c>
      <c r="D112" s="1064">
        <v>0.125</v>
      </c>
      <c r="E112" s="1064">
        <v>0.12</v>
      </c>
      <c r="F112" s="1065">
        <v>0.125</v>
      </c>
    </row>
    <row r="113" spans="1:6" ht="14.25" thickBot="1">
      <c r="A113" s="837" t="s">
        <v>56</v>
      </c>
      <c r="B113" s="831" t="s">
        <v>218</v>
      </c>
      <c r="C113" s="1064">
        <v>0.13</v>
      </c>
      <c r="D113" s="1064">
        <v>0.13</v>
      </c>
      <c r="E113" s="1064">
        <v>0.13</v>
      </c>
      <c r="F113" s="1065">
        <v>0.13</v>
      </c>
    </row>
    <row r="114" spans="1:6" ht="14.25" thickBot="1">
      <c r="A114" s="837" t="s">
        <v>56</v>
      </c>
      <c r="B114" s="831" t="s">
        <v>230</v>
      </c>
      <c r="C114" s="1064">
        <v>0.123</v>
      </c>
      <c r="D114" s="1064">
        <v>0.123</v>
      </c>
      <c r="E114" s="1064">
        <v>0.12</v>
      </c>
      <c r="F114" s="1065">
        <v>0.13</v>
      </c>
    </row>
    <row r="115" spans="1:6" ht="14.25" thickBot="1">
      <c r="A115" s="837" t="s">
        <v>56</v>
      </c>
      <c r="B115" s="831" t="s">
        <v>241</v>
      </c>
      <c r="C115" s="1064">
        <v>0.125</v>
      </c>
      <c r="D115" s="1064">
        <v>0.125</v>
      </c>
      <c r="E115" s="1064">
        <v>0.11700000000000001</v>
      </c>
      <c r="F115" s="1065">
        <v>0.13</v>
      </c>
    </row>
    <row r="116" spans="1:6" ht="14.25" thickBot="1">
      <c r="A116" s="837" t="s">
        <v>56</v>
      </c>
      <c r="B116" s="831" t="s">
        <v>252</v>
      </c>
      <c r="C116" s="1064">
        <v>0.11700000000000001</v>
      </c>
      <c r="D116" s="1064">
        <v>0.11700000000000001</v>
      </c>
      <c r="E116" s="1064">
        <v>8.7999999999999995E-2</v>
      </c>
      <c r="F116" s="1065">
        <v>0.13</v>
      </c>
    </row>
    <row r="117" spans="1:6" ht="14.25" thickBot="1">
      <c r="A117" s="837" t="s">
        <v>56</v>
      </c>
      <c r="B117" s="831" t="s">
        <v>263</v>
      </c>
      <c r="C117" s="1064">
        <v>0.13</v>
      </c>
      <c r="D117" s="1064">
        <v>0.13</v>
      </c>
      <c r="E117" s="1064">
        <v>0.129</v>
      </c>
      <c r="F117" s="1065">
        <v>0.13</v>
      </c>
    </row>
    <row r="118" spans="1:6" ht="14.25" thickBot="1">
      <c r="A118" s="837" t="s">
        <v>56</v>
      </c>
      <c r="B118" s="831" t="s">
        <v>275</v>
      </c>
      <c r="C118" s="1064">
        <v>0.123</v>
      </c>
      <c r="D118" s="1064">
        <v>0.123</v>
      </c>
      <c r="E118" s="1064">
        <v>0.11600000000000001</v>
      </c>
      <c r="F118" s="1065">
        <v>0.13</v>
      </c>
    </row>
    <row r="119" spans="1:6" ht="14.25" thickBot="1">
      <c r="A119" s="837" t="s">
        <v>56</v>
      </c>
      <c r="B119" s="831" t="s">
        <v>285</v>
      </c>
      <c r="C119" s="1064">
        <v>0.127</v>
      </c>
      <c r="D119" s="1064">
        <v>0.127</v>
      </c>
      <c r="E119" s="1064">
        <v>0.124</v>
      </c>
      <c r="F119" s="1065">
        <v>0.13</v>
      </c>
    </row>
    <row r="120" spans="1:6" ht="14.25" thickBot="1">
      <c r="A120" s="837" t="s">
        <v>56</v>
      </c>
      <c r="B120" s="831" t="s">
        <v>295</v>
      </c>
      <c r="C120" s="1064">
        <v>0.125</v>
      </c>
      <c r="D120" s="1064">
        <v>0.125</v>
      </c>
      <c r="E120" s="1064">
        <v>0.122</v>
      </c>
      <c r="F120" s="1065">
        <v>0.13</v>
      </c>
    </row>
    <row r="121" spans="1:6" ht="14.25" thickBot="1">
      <c r="A121" s="837" t="s">
        <v>56</v>
      </c>
      <c r="B121" s="831" t="s">
        <v>305</v>
      </c>
      <c r="C121" s="1064">
        <v>0.13</v>
      </c>
      <c r="D121" s="1064">
        <v>0.13</v>
      </c>
      <c r="E121" s="1064">
        <v>0.13</v>
      </c>
      <c r="F121" s="1065">
        <v>0.13</v>
      </c>
    </row>
    <row r="122" spans="1:6" ht="14.25" thickBot="1">
      <c r="A122" s="837" t="s">
        <v>56</v>
      </c>
      <c r="B122" s="831" t="s">
        <v>315</v>
      </c>
      <c r="C122" s="1064">
        <v>0.13</v>
      </c>
      <c r="D122" s="1064">
        <v>0.13</v>
      </c>
      <c r="E122" s="1064">
        <v>0.125</v>
      </c>
      <c r="F122" s="1065">
        <v>0.13</v>
      </c>
    </row>
    <row r="123" spans="1:6" ht="14.25" thickBot="1">
      <c r="A123" s="837" t="s">
        <v>56</v>
      </c>
      <c r="B123" s="831" t="s">
        <v>326</v>
      </c>
      <c r="C123" s="1064">
        <v>0.129</v>
      </c>
      <c r="D123" s="1064">
        <v>0.129</v>
      </c>
      <c r="E123" s="1064">
        <v>0.123</v>
      </c>
      <c r="F123" s="1065">
        <v>0.13</v>
      </c>
    </row>
    <row r="124" spans="1:6" ht="14.25" thickBot="1">
      <c r="A124" s="837" t="s">
        <v>56</v>
      </c>
      <c r="B124" s="831" t="s">
        <v>337</v>
      </c>
      <c r="C124" s="1064">
        <v>0.10199999999999999</v>
      </c>
      <c r="D124" s="1064">
        <v>0.10100000000000001</v>
      </c>
      <c r="E124" s="1064">
        <v>0.08</v>
      </c>
      <c r="F124" s="1076"/>
    </row>
    <row r="125" spans="1:6" ht="14.25" thickBot="1">
      <c r="A125" s="837" t="s">
        <v>56</v>
      </c>
      <c r="B125" s="831" t="s">
        <v>347</v>
      </c>
      <c r="C125" s="1064">
        <v>0.13</v>
      </c>
      <c r="D125" s="1064">
        <v>0.13</v>
      </c>
      <c r="E125" s="1064">
        <v>0.129</v>
      </c>
      <c r="F125" s="1076"/>
    </row>
    <row r="126" spans="1:6" ht="14.25" thickBot="1">
      <c r="A126" s="837" t="s">
        <v>56</v>
      </c>
      <c r="B126" s="831" t="s">
        <v>357</v>
      </c>
      <c r="C126" s="1064">
        <v>0.13</v>
      </c>
      <c r="D126" s="1064">
        <v>0.13</v>
      </c>
      <c r="E126" s="1064">
        <v>0.126</v>
      </c>
      <c r="F126" s="1076"/>
    </row>
    <row r="127" spans="1:6" ht="14.25" thickBot="1">
      <c r="A127" s="837" t="s">
        <v>56</v>
      </c>
      <c r="B127" s="831" t="s">
        <v>367</v>
      </c>
      <c r="C127" s="1064">
        <v>0.125</v>
      </c>
      <c r="D127" s="1064">
        <v>0.125</v>
      </c>
      <c r="E127" s="1064">
        <v>0.121</v>
      </c>
      <c r="F127" s="1076"/>
    </row>
    <row r="128" spans="1:6" ht="14.25" thickBot="1">
      <c r="A128" s="837" t="s">
        <v>56</v>
      </c>
      <c r="B128" s="831" t="s">
        <v>377</v>
      </c>
      <c r="C128" s="1064">
        <v>0.12</v>
      </c>
      <c r="D128" s="1064">
        <v>0.12</v>
      </c>
      <c r="E128" s="1064">
        <v>0.105</v>
      </c>
      <c r="F128" s="1076"/>
    </row>
    <row r="129" spans="1:6" ht="14.25" thickBot="1">
      <c r="A129" s="837" t="s">
        <v>56</v>
      </c>
      <c r="B129" s="831" t="s">
        <v>386</v>
      </c>
      <c r="C129" s="1064">
        <v>0.13</v>
      </c>
      <c r="D129" s="1064">
        <v>0.13</v>
      </c>
      <c r="E129" s="1064">
        <v>0.126</v>
      </c>
      <c r="F129" s="1076"/>
    </row>
    <row r="130" spans="1:6" ht="14.25" thickBot="1">
      <c r="A130" s="837" t="s">
        <v>56</v>
      </c>
      <c r="B130" s="831" t="s">
        <v>395</v>
      </c>
      <c r="C130" s="1064">
        <v>0.125</v>
      </c>
      <c r="D130" s="1064">
        <v>0.125</v>
      </c>
      <c r="E130" s="1064">
        <v>0.122</v>
      </c>
      <c r="F130" s="1076"/>
    </row>
    <row r="131" spans="1:6" ht="14.25" thickBot="1">
      <c r="A131" s="837" t="s">
        <v>56</v>
      </c>
      <c r="B131" s="831" t="s">
        <v>403</v>
      </c>
      <c r="C131" s="1064">
        <v>0.127</v>
      </c>
      <c r="D131" s="1064">
        <v>0.126</v>
      </c>
      <c r="E131" s="1064">
        <v>0.123</v>
      </c>
      <c r="F131" s="1076"/>
    </row>
    <row r="132" spans="1:6" ht="14.25" thickBot="1">
      <c r="A132" s="837" t="s">
        <v>56</v>
      </c>
      <c r="B132" s="831" t="s">
        <v>410</v>
      </c>
      <c r="C132" s="1064">
        <v>9.0999999999999998E-2</v>
      </c>
      <c r="D132" s="1064">
        <v>0.121</v>
      </c>
      <c r="E132" s="1064">
        <v>9.9000000000000005E-2</v>
      </c>
      <c r="F132" s="1076"/>
    </row>
    <row r="133" spans="1:6" ht="14.25" thickBot="1">
      <c r="A133" s="837" t="s">
        <v>56</v>
      </c>
      <c r="B133" s="831" t="s">
        <v>417</v>
      </c>
      <c r="C133" s="1064">
        <v>0.13</v>
      </c>
      <c r="D133" s="1064">
        <v>0.13</v>
      </c>
      <c r="E133" s="1064">
        <v>0.129</v>
      </c>
      <c r="F133" s="1076"/>
    </row>
    <row r="134" spans="1:6" ht="14.25" thickBot="1">
      <c r="A134" s="837" t="s">
        <v>56</v>
      </c>
      <c r="B134" s="831" t="s">
        <v>899</v>
      </c>
      <c r="C134" s="1064">
        <v>6.8000000000000005E-2</v>
      </c>
      <c r="D134" s="1064">
        <v>6.5000000000000002E-2</v>
      </c>
      <c r="E134" s="1064">
        <v>6.5000000000000002E-2</v>
      </c>
      <c r="F134" s="1065">
        <v>0.13</v>
      </c>
    </row>
    <row r="135" spans="1:6" ht="14.25" thickBot="1">
      <c r="A135" s="837" t="s">
        <v>56</v>
      </c>
      <c r="B135" s="831" t="s">
        <v>431</v>
      </c>
      <c r="C135" s="1064">
        <v>0.123</v>
      </c>
      <c r="D135" s="1064">
        <v>0.123</v>
      </c>
      <c r="E135" s="1064">
        <v>0.11</v>
      </c>
      <c r="F135" s="1076"/>
    </row>
    <row r="136" spans="1:6" ht="14.25" thickBot="1">
      <c r="A136" s="837" t="s">
        <v>56</v>
      </c>
      <c r="B136" s="831" t="s">
        <v>438</v>
      </c>
      <c r="C136" s="1064">
        <v>0.13</v>
      </c>
      <c r="D136" s="1064">
        <v>0.13</v>
      </c>
      <c r="E136" s="1064">
        <v>0.125</v>
      </c>
      <c r="F136" s="1076"/>
    </row>
    <row r="137" spans="1:6" ht="14.25" thickBot="1">
      <c r="A137" s="837" t="s">
        <v>56</v>
      </c>
      <c r="B137" s="831" t="s">
        <v>445</v>
      </c>
      <c r="C137" s="1064">
        <v>0.121</v>
      </c>
      <c r="D137" s="1064">
        <v>0.122</v>
      </c>
      <c r="E137" s="1064">
        <v>0.115</v>
      </c>
      <c r="F137" s="1076"/>
    </row>
    <row r="138" spans="1:6" ht="14.25" thickBot="1">
      <c r="A138" s="837" t="s">
        <v>56</v>
      </c>
      <c r="B138" s="831" t="s">
        <v>900</v>
      </c>
      <c r="C138" s="1064">
        <v>0.105</v>
      </c>
      <c r="D138" s="1064">
        <v>0.125</v>
      </c>
      <c r="E138" s="1064">
        <v>0.112</v>
      </c>
      <c r="F138" s="1076"/>
    </row>
    <row r="139" spans="1:6" ht="14.25" thickBot="1">
      <c r="A139" s="837" t="s">
        <v>56</v>
      </c>
      <c r="B139" s="831" t="s">
        <v>901</v>
      </c>
      <c r="C139" s="1064">
        <v>0.127</v>
      </c>
      <c r="D139" s="1064">
        <v>0.127</v>
      </c>
      <c r="E139" s="1064">
        <v>0.122</v>
      </c>
      <c r="F139" s="1065">
        <v>0.13</v>
      </c>
    </row>
    <row r="140" spans="1:6" ht="14.25" thickBot="1">
      <c r="A140" s="837" t="s">
        <v>56</v>
      </c>
      <c r="B140" s="831" t="s">
        <v>902</v>
      </c>
      <c r="C140" s="1064">
        <v>0.125</v>
      </c>
      <c r="D140" s="1064">
        <v>0.125</v>
      </c>
      <c r="E140" s="1064">
        <v>0.11899999999999999</v>
      </c>
      <c r="F140" s="1065">
        <v>0.13</v>
      </c>
    </row>
    <row r="141" spans="1:6" ht="14.25" thickBot="1">
      <c r="A141" s="837" t="s">
        <v>56</v>
      </c>
      <c r="B141" s="831" t="s">
        <v>464</v>
      </c>
      <c r="C141" s="1064">
        <v>0.125</v>
      </c>
      <c r="D141" s="1064">
        <v>0.125</v>
      </c>
      <c r="E141" s="1064">
        <v>0.11700000000000001</v>
      </c>
      <c r="F141" s="1076"/>
    </row>
    <row r="142" spans="1:6" ht="14.25" thickBot="1">
      <c r="A142" s="837" t="s">
        <v>56</v>
      </c>
      <c r="B142" s="831" t="s">
        <v>469</v>
      </c>
      <c r="C142" s="1064">
        <v>0.125</v>
      </c>
      <c r="D142" s="1064">
        <v>0.125</v>
      </c>
      <c r="E142" s="1064">
        <v>0.115</v>
      </c>
      <c r="F142" s="1076"/>
    </row>
    <row r="143" spans="1:6" ht="14.25" thickBot="1">
      <c r="A143" s="837" t="s">
        <v>56</v>
      </c>
      <c r="B143" s="831" t="s">
        <v>474</v>
      </c>
      <c r="C143" s="1064">
        <v>0.121</v>
      </c>
      <c r="D143" s="1064">
        <v>0.121</v>
      </c>
      <c r="E143" s="1064">
        <v>0.108</v>
      </c>
      <c r="F143" s="1076"/>
    </row>
    <row r="144" spans="1:6" ht="14.25" thickBot="1">
      <c r="A144" s="837" t="s">
        <v>56</v>
      </c>
      <c r="B144" s="1068" t="s">
        <v>903</v>
      </c>
      <c r="C144" s="1069">
        <v>0.126</v>
      </c>
      <c r="D144" s="1069">
        <v>0.126</v>
      </c>
      <c r="E144" s="1069">
        <v>0.121</v>
      </c>
      <c r="F144" s="1076"/>
    </row>
    <row r="145" spans="1:6" ht="14.25" thickBot="1">
      <c r="A145" s="847" t="s">
        <v>56</v>
      </c>
      <c r="B145" s="1070" t="s">
        <v>904</v>
      </c>
      <c r="C145" s="1078"/>
      <c r="D145" s="1078"/>
      <c r="E145" s="1078"/>
      <c r="F145" s="1071">
        <v>0.05</v>
      </c>
    </row>
    <row r="146" spans="1:6" ht="24.75" thickBot="1">
      <c r="A146" s="1072" t="s">
        <v>56</v>
      </c>
      <c r="B146" s="841" t="s">
        <v>905</v>
      </c>
      <c r="C146" s="1077"/>
      <c r="D146" s="1077"/>
      <c r="E146" s="1077"/>
      <c r="F146" s="1073">
        <v>0.05</v>
      </c>
    </row>
    <row r="147" spans="1:6" ht="24.75" thickBot="1">
      <c r="A147" s="837" t="s">
        <v>56</v>
      </c>
      <c r="B147" s="831" t="s">
        <v>906</v>
      </c>
      <c r="C147" s="1077"/>
      <c r="D147" s="1077"/>
      <c r="E147" s="1077"/>
      <c r="F147" s="1065">
        <v>0.05</v>
      </c>
    </row>
    <row r="148" spans="1:6" ht="24.75" thickBot="1">
      <c r="A148" s="837" t="s">
        <v>56</v>
      </c>
      <c r="B148" s="831" t="s">
        <v>907</v>
      </c>
      <c r="C148" s="1077"/>
      <c r="D148" s="1077"/>
      <c r="E148" s="1077"/>
      <c r="F148" s="1065">
        <v>0.05</v>
      </c>
    </row>
    <row r="149" spans="1:6" ht="24.75" thickBot="1">
      <c r="A149" s="837" t="s">
        <v>56</v>
      </c>
      <c r="B149" s="831" t="s">
        <v>908</v>
      </c>
      <c r="C149" s="1077"/>
      <c r="D149" s="1077"/>
      <c r="E149" s="1077"/>
      <c r="F149" s="1065">
        <v>0.05</v>
      </c>
    </row>
    <row r="150" spans="1:6" ht="24.75" thickBot="1">
      <c r="A150" s="837" t="s">
        <v>56</v>
      </c>
      <c r="B150" s="831" t="s">
        <v>909</v>
      </c>
      <c r="C150" s="1077"/>
      <c r="D150" s="1077"/>
      <c r="E150" s="1077"/>
      <c r="F150" s="1065">
        <v>0.05</v>
      </c>
    </row>
    <row r="151" spans="1:6" ht="24.75" thickBot="1">
      <c r="A151" s="837" t="s">
        <v>56</v>
      </c>
      <c r="B151" s="831" t="s">
        <v>910</v>
      </c>
      <c r="C151" s="1077"/>
      <c r="D151" s="1077"/>
      <c r="E151" s="1077"/>
      <c r="F151" s="1065">
        <v>0.05</v>
      </c>
    </row>
    <row r="152" spans="1:6" ht="24.75" thickBot="1">
      <c r="A152" s="837" t="s">
        <v>56</v>
      </c>
      <c r="B152" s="831" t="s">
        <v>507</v>
      </c>
      <c r="C152" s="1077"/>
      <c r="D152" s="1077"/>
      <c r="E152" s="1077"/>
      <c r="F152" s="1065">
        <v>0.05</v>
      </c>
    </row>
    <row r="153" spans="1:6" ht="14.25" thickBot="1">
      <c r="A153" s="837" t="s">
        <v>56</v>
      </c>
      <c r="B153" s="831" t="s">
        <v>911</v>
      </c>
      <c r="C153" s="1077"/>
      <c r="D153" s="1077"/>
      <c r="E153" s="1077"/>
      <c r="F153" s="1065">
        <v>0.05</v>
      </c>
    </row>
    <row r="154" spans="1:6" ht="14.25" thickBot="1">
      <c r="A154" s="837" t="s">
        <v>56</v>
      </c>
      <c r="B154" s="831" t="s">
        <v>912</v>
      </c>
      <c r="C154" s="1077"/>
      <c r="D154" s="1077"/>
      <c r="E154" s="1077"/>
      <c r="F154" s="1065">
        <v>0.05</v>
      </c>
    </row>
    <row r="155" spans="1:6" ht="24.75" thickBot="1">
      <c r="A155" s="837" t="s">
        <v>56</v>
      </c>
      <c r="B155" s="831" t="s">
        <v>913</v>
      </c>
      <c r="C155" s="1077"/>
      <c r="D155" s="1077"/>
      <c r="E155" s="1077"/>
      <c r="F155" s="1065">
        <v>0.05</v>
      </c>
    </row>
    <row r="156" spans="1:6" ht="24.75" thickBot="1">
      <c r="A156" s="837" t="s">
        <v>56</v>
      </c>
      <c r="B156" s="831" t="s">
        <v>914</v>
      </c>
      <c r="C156" s="1077"/>
      <c r="D156" s="1077"/>
      <c r="E156" s="1077"/>
      <c r="F156" s="1065">
        <v>0.05</v>
      </c>
    </row>
    <row r="157" spans="1:6" ht="14.25" thickBot="1">
      <c r="A157" s="847" t="s">
        <v>56</v>
      </c>
      <c r="B157" s="843" t="s">
        <v>915</v>
      </c>
      <c r="C157" s="1074"/>
      <c r="D157" s="1074"/>
      <c r="E157" s="1074"/>
      <c r="F157" s="1067">
        <v>0.05</v>
      </c>
    </row>
    <row r="158" spans="1:6" ht="14.25" thickBot="1">
      <c r="A158" s="837" t="s">
        <v>526</v>
      </c>
      <c r="B158" s="838" t="s">
        <v>916</v>
      </c>
      <c r="C158" s="1062">
        <v>0.13</v>
      </c>
      <c r="D158" s="1062">
        <v>0.13</v>
      </c>
      <c r="E158" s="1062">
        <v>0.13</v>
      </c>
      <c r="F158" s="1063">
        <v>0.13</v>
      </c>
    </row>
    <row r="159" spans="1:6" ht="14.25" thickBot="1">
      <c r="A159" s="837" t="s">
        <v>526</v>
      </c>
      <c r="B159" s="831" t="s">
        <v>193</v>
      </c>
      <c r="C159" s="1064">
        <v>0.13</v>
      </c>
      <c r="D159" s="1064">
        <v>0.13</v>
      </c>
      <c r="E159" s="1064">
        <v>0.13</v>
      </c>
      <c r="F159" s="1065">
        <v>0.13</v>
      </c>
    </row>
    <row r="160" spans="1:6" ht="14.25" thickBot="1">
      <c r="A160" s="837" t="s">
        <v>526</v>
      </c>
      <c r="B160" s="831" t="s">
        <v>206</v>
      </c>
      <c r="C160" s="1064">
        <v>0.13</v>
      </c>
      <c r="D160" s="1064">
        <v>0.13</v>
      </c>
      <c r="E160" s="1064">
        <v>0.129</v>
      </c>
      <c r="F160" s="1065">
        <v>0.13</v>
      </c>
    </row>
    <row r="161" spans="1:6" ht="14.25" thickBot="1">
      <c r="A161" s="837" t="s">
        <v>526</v>
      </c>
      <c r="B161" s="831" t="s">
        <v>219</v>
      </c>
      <c r="C161" s="1064">
        <v>0.128</v>
      </c>
      <c r="D161" s="1064">
        <v>0.128</v>
      </c>
      <c r="E161" s="1064">
        <v>0.125</v>
      </c>
      <c r="F161" s="1065">
        <v>0.13</v>
      </c>
    </row>
    <row r="162" spans="1:6" ht="14.25" thickBot="1">
      <c r="A162" s="837" t="s">
        <v>526</v>
      </c>
      <c r="B162" s="831" t="s">
        <v>231</v>
      </c>
      <c r="C162" s="1064">
        <v>0.122</v>
      </c>
      <c r="D162" s="1064">
        <v>0.122</v>
      </c>
      <c r="E162" s="1064">
        <v>0.126</v>
      </c>
      <c r="F162" s="1065">
        <v>0.122</v>
      </c>
    </row>
    <row r="163" spans="1:6" ht="14.25" thickBot="1">
      <c r="A163" s="837" t="s">
        <v>526</v>
      </c>
      <c r="B163" s="831" t="s">
        <v>242</v>
      </c>
      <c r="C163" s="1064">
        <v>0.13</v>
      </c>
      <c r="D163" s="1064">
        <v>0.13</v>
      </c>
      <c r="E163" s="1064">
        <v>0.125</v>
      </c>
      <c r="F163" s="1065">
        <v>0.13</v>
      </c>
    </row>
    <row r="164" spans="1:6" ht="14.25" thickBot="1">
      <c r="A164" s="837" t="s">
        <v>526</v>
      </c>
      <c r="B164" s="831" t="s">
        <v>253</v>
      </c>
      <c r="C164" s="1064">
        <v>0.13</v>
      </c>
      <c r="D164" s="1064">
        <v>0.13</v>
      </c>
      <c r="E164" s="1064">
        <v>0.13</v>
      </c>
      <c r="F164" s="1065">
        <v>0.13</v>
      </c>
    </row>
    <row r="165" spans="1:6" ht="14.25" thickBot="1">
      <c r="A165" s="837" t="s">
        <v>526</v>
      </c>
      <c r="B165" s="831" t="s">
        <v>264</v>
      </c>
      <c r="C165" s="1064">
        <v>0.13</v>
      </c>
      <c r="D165" s="1064">
        <v>0.13</v>
      </c>
      <c r="E165" s="1064">
        <v>0.124</v>
      </c>
      <c r="F165" s="1065">
        <v>0.13</v>
      </c>
    </row>
    <row r="166" spans="1:6" ht="14.25" thickBot="1">
      <c r="A166" s="837" t="s">
        <v>526</v>
      </c>
      <c r="B166" s="831" t="s">
        <v>276</v>
      </c>
      <c r="C166" s="1064">
        <v>0.13</v>
      </c>
      <c r="D166" s="1064">
        <v>0.13</v>
      </c>
      <c r="E166" s="1064">
        <v>0.13</v>
      </c>
      <c r="F166" s="1065">
        <v>0.13</v>
      </c>
    </row>
    <row r="167" spans="1:6" ht="14.25" thickBot="1">
      <c r="A167" s="837" t="s">
        <v>526</v>
      </c>
      <c r="B167" s="831" t="s">
        <v>286</v>
      </c>
      <c r="C167" s="1064">
        <v>0.125</v>
      </c>
      <c r="D167" s="1064">
        <v>0.125</v>
      </c>
      <c r="E167" s="1064">
        <v>0.121</v>
      </c>
      <c r="F167" s="1076"/>
    </row>
    <row r="168" spans="1:6" ht="14.25" thickBot="1">
      <c r="A168" s="837" t="s">
        <v>526</v>
      </c>
      <c r="B168" s="831" t="s">
        <v>296</v>
      </c>
      <c r="C168" s="1064">
        <v>0.13</v>
      </c>
      <c r="D168" s="1064">
        <v>0.13</v>
      </c>
      <c r="E168" s="1064">
        <v>0.126</v>
      </c>
      <c r="F168" s="1076"/>
    </row>
    <row r="169" spans="1:6" ht="14.25" thickBot="1">
      <c r="A169" s="837" t="s">
        <v>526</v>
      </c>
      <c r="B169" s="831" t="s">
        <v>306</v>
      </c>
      <c r="C169" s="1064">
        <v>0.128</v>
      </c>
      <c r="D169" s="1064">
        <v>0.129</v>
      </c>
      <c r="E169" s="1064">
        <v>0.13</v>
      </c>
      <c r="F169" s="1076"/>
    </row>
    <row r="170" spans="1:6" ht="14.25" thickBot="1">
      <c r="A170" s="837" t="s">
        <v>526</v>
      </c>
      <c r="B170" s="831" t="s">
        <v>316</v>
      </c>
      <c r="C170" s="1064">
        <v>0.14099999999999999</v>
      </c>
      <c r="D170" s="1064">
        <v>0.13</v>
      </c>
      <c r="E170" s="1064">
        <v>0.125</v>
      </c>
      <c r="F170" s="1076"/>
    </row>
    <row r="171" spans="1:6" ht="14.25" thickBot="1">
      <c r="A171" s="837" t="s">
        <v>526</v>
      </c>
      <c r="B171" s="831" t="s">
        <v>917</v>
      </c>
      <c r="C171" s="1064">
        <v>0.127</v>
      </c>
      <c r="D171" s="1064">
        <v>0.126</v>
      </c>
      <c r="E171" s="1064">
        <v>0.126</v>
      </c>
      <c r="F171" s="1065">
        <v>0.11799999999999999</v>
      </c>
    </row>
    <row r="172" spans="1:6" ht="14.25" thickBot="1">
      <c r="A172" s="837" t="s">
        <v>526</v>
      </c>
      <c r="B172" s="831" t="s">
        <v>918</v>
      </c>
      <c r="C172" s="1064">
        <v>0.13</v>
      </c>
      <c r="D172" s="1064">
        <v>0.13</v>
      </c>
      <c r="E172" s="1064">
        <v>0.13</v>
      </c>
      <c r="F172" s="1076"/>
    </row>
    <row r="173" spans="1:6" ht="14.25" thickBot="1">
      <c r="A173" s="837" t="s">
        <v>526</v>
      </c>
      <c r="B173" s="831" t="s">
        <v>348</v>
      </c>
      <c r="C173" s="1064">
        <v>0.13</v>
      </c>
      <c r="D173" s="1064">
        <v>0.13</v>
      </c>
      <c r="E173" s="1064">
        <v>0.13</v>
      </c>
      <c r="F173" s="1076"/>
    </row>
    <row r="174" spans="1:6" ht="14.25" thickBot="1">
      <c r="A174" s="837" t="s">
        <v>526</v>
      </c>
      <c r="B174" s="831" t="s">
        <v>919</v>
      </c>
      <c r="C174" s="1064">
        <v>0.13</v>
      </c>
      <c r="D174" s="1064">
        <v>0.13</v>
      </c>
      <c r="E174" s="1064">
        <v>0.13</v>
      </c>
      <c r="F174" s="1065">
        <v>0.13</v>
      </c>
    </row>
    <row r="175" spans="1:6" ht="14.25" thickBot="1">
      <c r="A175" s="837" t="s">
        <v>526</v>
      </c>
      <c r="B175" s="831" t="s">
        <v>920</v>
      </c>
      <c r="C175" s="1064">
        <v>0.13</v>
      </c>
      <c r="D175" s="1064">
        <v>0.13</v>
      </c>
      <c r="E175" s="1064">
        <v>0.13</v>
      </c>
      <c r="F175" s="1065">
        <v>0.13</v>
      </c>
    </row>
    <row r="176" spans="1:6" ht="14.25" thickBot="1">
      <c r="A176" s="837" t="s">
        <v>526</v>
      </c>
      <c r="B176" s="831" t="s">
        <v>378</v>
      </c>
      <c r="C176" s="1064">
        <v>0.13</v>
      </c>
      <c r="D176" s="1064">
        <v>0.13</v>
      </c>
      <c r="E176" s="1064">
        <v>0.13</v>
      </c>
      <c r="F176" s="1065">
        <v>0.13</v>
      </c>
    </row>
    <row r="177" spans="1:6" ht="14.25" thickBot="1">
      <c r="A177" s="837" t="s">
        <v>526</v>
      </c>
      <c r="B177" s="831" t="s">
        <v>921</v>
      </c>
      <c r="C177" s="1064">
        <v>0.13</v>
      </c>
      <c r="D177" s="1064">
        <v>0.13</v>
      </c>
      <c r="E177" s="1064">
        <v>0.13</v>
      </c>
      <c r="F177" s="1065">
        <v>0.13</v>
      </c>
    </row>
    <row r="178" spans="1:6" ht="14.25" thickBot="1">
      <c r="A178" s="837" t="s">
        <v>526</v>
      </c>
      <c r="B178" s="831" t="s">
        <v>396</v>
      </c>
      <c r="C178" s="1064">
        <v>0.13</v>
      </c>
      <c r="D178" s="1064">
        <v>0.13</v>
      </c>
      <c r="E178" s="1064">
        <v>0.13</v>
      </c>
      <c r="F178" s="1065">
        <v>0.127</v>
      </c>
    </row>
    <row r="179" spans="1:6" ht="14.25" thickBot="1">
      <c r="A179" s="837" t="s">
        <v>526</v>
      </c>
      <c r="B179" s="831" t="s">
        <v>404</v>
      </c>
      <c r="C179" s="1064">
        <v>0.13</v>
      </c>
      <c r="D179" s="1064">
        <v>0.13</v>
      </c>
      <c r="E179" s="1064">
        <v>0.13</v>
      </c>
      <c r="F179" s="1076"/>
    </row>
    <row r="180" spans="1:6" ht="14.25" thickBot="1">
      <c r="A180" s="837" t="s">
        <v>526</v>
      </c>
      <c r="B180" s="831" t="s">
        <v>922</v>
      </c>
      <c r="C180" s="1064">
        <v>0.13</v>
      </c>
      <c r="D180" s="1064">
        <v>0.13</v>
      </c>
      <c r="E180" s="1064">
        <v>0.125</v>
      </c>
      <c r="F180" s="1065">
        <v>0.13</v>
      </c>
    </row>
    <row r="181" spans="1:6" ht="14.25" thickBot="1">
      <c r="A181" s="837" t="s">
        <v>526</v>
      </c>
      <c r="B181" s="831" t="s">
        <v>418</v>
      </c>
      <c r="C181" s="1064">
        <v>0.122</v>
      </c>
      <c r="D181" s="1064">
        <v>0.123</v>
      </c>
      <c r="E181" s="1064">
        <v>0.126</v>
      </c>
      <c r="F181" s="1065">
        <v>0.121</v>
      </c>
    </row>
    <row r="182" spans="1:6" ht="14.25" thickBot="1">
      <c r="A182" s="837" t="s">
        <v>526</v>
      </c>
      <c r="B182" s="831" t="s">
        <v>425</v>
      </c>
      <c r="C182" s="1064">
        <v>0.125</v>
      </c>
      <c r="D182" s="1064">
        <v>0.125</v>
      </c>
      <c r="E182" s="1064">
        <v>0.11700000000000001</v>
      </c>
      <c r="F182" s="1065">
        <v>0.13</v>
      </c>
    </row>
    <row r="183" spans="1:6" ht="14.25" thickBot="1">
      <c r="A183" s="837" t="s">
        <v>526</v>
      </c>
      <c r="B183" s="831" t="s">
        <v>432</v>
      </c>
      <c r="C183" s="1064">
        <v>0.127</v>
      </c>
      <c r="D183" s="1064">
        <v>0.127</v>
      </c>
      <c r="E183" s="1064">
        <v>0.128</v>
      </c>
      <c r="F183" s="1076"/>
    </row>
    <row r="184" spans="1:6" ht="14.25" thickBot="1">
      <c r="A184" s="837" t="s">
        <v>526</v>
      </c>
      <c r="B184" s="831" t="s">
        <v>439</v>
      </c>
      <c r="C184" s="1064">
        <v>0.125</v>
      </c>
      <c r="D184" s="1064">
        <v>0.125</v>
      </c>
      <c r="E184" s="1064">
        <v>0.127</v>
      </c>
      <c r="F184" s="1076"/>
    </row>
    <row r="185" spans="1:6" ht="14.25" thickBot="1">
      <c r="A185" s="837" t="s">
        <v>526</v>
      </c>
      <c r="B185" s="831" t="s">
        <v>923</v>
      </c>
      <c r="C185" s="1064">
        <v>0.127</v>
      </c>
      <c r="D185" s="1064">
        <v>0.127</v>
      </c>
      <c r="E185" s="1064">
        <v>0.128</v>
      </c>
      <c r="F185" s="1065">
        <v>0.13</v>
      </c>
    </row>
    <row r="186" spans="1:6" ht="24.75" thickBot="1">
      <c r="A186" s="837" t="s">
        <v>526</v>
      </c>
      <c r="B186" s="831" t="s">
        <v>924</v>
      </c>
      <c r="C186" s="1077"/>
      <c r="D186" s="1077"/>
      <c r="E186" s="1077"/>
      <c r="F186" s="1065">
        <v>0.05</v>
      </c>
    </row>
    <row r="187" spans="1:6" ht="14.25" thickBot="1">
      <c r="A187" s="837" t="s">
        <v>526</v>
      </c>
      <c r="B187" s="831" t="s">
        <v>925</v>
      </c>
      <c r="C187" s="1077"/>
      <c r="D187" s="1077"/>
      <c r="E187" s="1077"/>
      <c r="F187" s="1065">
        <v>0.05</v>
      </c>
    </row>
    <row r="188" spans="1:6" ht="14.25" thickBot="1">
      <c r="A188" s="837" t="s">
        <v>526</v>
      </c>
      <c r="B188" s="831" t="s">
        <v>926</v>
      </c>
      <c r="C188" s="1077"/>
      <c r="D188" s="1077"/>
      <c r="E188" s="1077"/>
      <c r="F188" s="1065">
        <v>0.05</v>
      </c>
    </row>
    <row r="189" spans="1:6" ht="24.75" thickBot="1">
      <c r="A189" s="837" t="s">
        <v>526</v>
      </c>
      <c r="B189" s="831" t="s">
        <v>927</v>
      </c>
      <c r="C189" s="1077"/>
      <c r="D189" s="1077"/>
      <c r="E189" s="1077"/>
      <c r="F189" s="1065">
        <v>0.05</v>
      </c>
    </row>
    <row r="190" spans="1:6" ht="24.75" thickBot="1">
      <c r="A190" s="837" t="s">
        <v>526</v>
      </c>
      <c r="B190" s="831" t="s">
        <v>928</v>
      </c>
      <c r="C190" s="1077"/>
      <c r="D190" s="1077"/>
      <c r="E190" s="1077"/>
      <c r="F190" s="1065">
        <v>0.05</v>
      </c>
    </row>
    <row r="191" spans="1:6" ht="24.75" thickBot="1">
      <c r="A191" s="837" t="s">
        <v>526</v>
      </c>
      <c r="B191" s="831" t="s">
        <v>929</v>
      </c>
      <c r="C191" s="1077"/>
      <c r="D191" s="1077"/>
      <c r="E191" s="1077"/>
      <c r="F191" s="1065">
        <v>0.05</v>
      </c>
    </row>
    <row r="192" spans="1:6" ht="24.75" thickBot="1">
      <c r="A192" s="837" t="s">
        <v>526</v>
      </c>
      <c r="B192" s="831" t="s">
        <v>930</v>
      </c>
      <c r="C192" s="1077"/>
      <c r="D192" s="1077"/>
      <c r="E192" s="1077"/>
      <c r="F192" s="1065">
        <v>0.05</v>
      </c>
    </row>
    <row r="193" spans="1:6" ht="24.75" thickBot="1">
      <c r="A193" s="837" t="s">
        <v>526</v>
      </c>
      <c r="B193" s="831" t="s">
        <v>931</v>
      </c>
      <c r="C193" s="1077"/>
      <c r="D193" s="1077"/>
      <c r="E193" s="1077"/>
      <c r="F193" s="1065">
        <v>0.05</v>
      </c>
    </row>
    <row r="194" spans="1:6" ht="24.75" thickBot="1">
      <c r="A194" s="837" t="s">
        <v>526</v>
      </c>
      <c r="B194" s="831" t="s">
        <v>932</v>
      </c>
      <c r="C194" s="1077"/>
      <c r="D194" s="1077"/>
      <c r="E194" s="1077"/>
      <c r="F194" s="1065">
        <v>0.05</v>
      </c>
    </row>
    <row r="195" spans="1:6" ht="14.25" thickBot="1">
      <c r="A195" s="837" t="s">
        <v>526</v>
      </c>
      <c r="B195" s="831" t="s">
        <v>933</v>
      </c>
      <c r="C195" s="1077"/>
      <c r="D195" s="1077"/>
      <c r="E195" s="1077"/>
      <c r="F195" s="1065">
        <v>0.05</v>
      </c>
    </row>
    <row r="196" spans="1:6" ht="24.75" thickBot="1">
      <c r="A196" s="837" t="s">
        <v>526</v>
      </c>
      <c r="B196" s="831" t="s">
        <v>934</v>
      </c>
      <c r="C196" s="1077"/>
      <c r="D196" s="1077"/>
      <c r="E196" s="1077"/>
      <c r="F196" s="1065">
        <v>0.05</v>
      </c>
    </row>
    <row r="197" spans="1:6" ht="24.75" thickBot="1">
      <c r="A197" s="837" t="s">
        <v>526</v>
      </c>
      <c r="B197" s="831" t="s">
        <v>935</v>
      </c>
      <c r="C197" s="1077"/>
      <c r="D197" s="1077"/>
      <c r="E197" s="1077"/>
      <c r="F197" s="1065">
        <v>0.05</v>
      </c>
    </row>
    <row r="198" spans="1:6" ht="24.75" thickBot="1">
      <c r="A198" s="837" t="s">
        <v>526</v>
      </c>
      <c r="B198" s="831" t="s">
        <v>936</v>
      </c>
      <c r="C198" s="1077"/>
      <c r="D198" s="1077"/>
      <c r="E198" s="1077"/>
      <c r="F198" s="1065">
        <v>0.05</v>
      </c>
    </row>
    <row r="199" spans="1:6" ht="24.75" thickBot="1">
      <c r="A199" s="837" t="s">
        <v>526</v>
      </c>
      <c r="B199" s="831" t="s">
        <v>937</v>
      </c>
      <c r="C199" s="1077"/>
      <c r="D199" s="1077"/>
      <c r="E199" s="1077"/>
      <c r="F199" s="1065">
        <v>0.05</v>
      </c>
    </row>
    <row r="200" spans="1:6" ht="24.75" thickBot="1">
      <c r="A200" s="837" t="s">
        <v>526</v>
      </c>
      <c r="B200" s="831" t="s">
        <v>938</v>
      </c>
      <c r="C200" s="1077"/>
      <c r="D200" s="1077"/>
      <c r="E200" s="1077"/>
      <c r="F200" s="1065">
        <v>0.05</v>
      </c>
    </row>
    <row r="201" spans="1:6" ht="24.75" thickBot="1">
      <c r="A201" s="837" t="s">
        <v>526</v>
      </c>
      <c r="B201" s="831" t="s">
        <v>939</v>
      </c>
      <c r="C201" s="1077"/>
      <c r="D201" s="1077"/>
      <c r="E201" s="1077"/>
      <c r="F201" s="1065">
        <v>0.05</v>
      </c>
    </row>
    <row r="202" spans="1:6" ht="24.75" thickBot="1">
      <c r="A202" s="837" t="s">
        <v>526</v>
      </c>
      <c r="B202" s="831" t="s">
        <v>940</v>
      </c>
      <c r="C202" s="1077"/>
      <c r="D202" s="1077"/>
      <c r="E202" s="1077"/>
      <c r="F202" s="1065">
        <v>0.05</v>
      </c>
    </row>
    <row r="203" spans="1:6" ht="24.75" thickBot="1">
      <c r="A203" s="837" t="s">
        <v>526</v>
      </c>
      <c r="B203" s="831" t="s">
        <v>941</v>
      </c>
      <c r="C203" s="1077"/>
      <c r="D203" s="1077"/>
      <c r="E203" s="1077"/>
      <c r="F203" s="1065">
        <v>0.05</v>
      </c>
    </row>
    <row r="204" spans="1:6" ht="14.25" thickBot="1">
      <c r="A204" s="837" t="s">
        <v>526</v>
      </c>
      <c r="B204" s="831" t="s">
        <v>942</v>
      </c>
      <c r="C204" s="1077"/>
      <c r="D204" s="1077"/>
      <c r="E204" s="1077"/>
      <c r="F204" s="1065">
        <v>0.05</v>
      </c>
    </row>
    <row r="205" spans="1:6" ht="14.25" thickBot="1">
      <c r="A205" s="847" t="s">
        <v>526</v>
      </c>
      <c r="B205" s="843" t="s">
        <v>943</v>
      </c>
      <c r="C205" s="1074"/>
      <c r="D205" s="1074"/>
      <c r="E205" s="1074"/>
      <c r="F205" s="1067">
        <v>0.05</v>
      </c>
    </row>
    <row r="206" spans="1:6" ht="14.25" thickBot="1">
      <c r="A206" s="837" t="s">
        <v>528</v>
      </c>
      <c r="B206" s="838" t="s">
        <v>944</v>
      </c>
      <c r="C206" s="1062">
        <v>0.15</v>
      </c>
      <c r="D206" s="1062">
        <v>0.15</v>
      </c>
      <c r="E206" s="1062">
        <v>0.15</v>
      </c>
      <c r="F206" s="1063">
        <v>0.15</v>
      </c>
    </row>
    <row r="207" spans="1:6" ht="14.25" thickBot="1">
      <c r="A207" s="837" t="s">
        <v>528</v>
      </c>
      <c r="B207" s="831" t="s">
        <v>194</v>
      </c>
      <c r="C207" s="1064">
        <v>0.15</v>
      </c>
      <c r="D207" s="1064">
        <v>0.15</v>
      </c>
      <c r="E207" s="1064">
        <v>0.15</v>
      </c>
      <c r="F207" s="1065">
        <v>0.14399999999999999</v>
      </c>
    </row>
    <row r="208" spans="1:6" ht="14.25" thickBot="1">
      <c r="A208" s="837" t="s">
        <v>528</v>
      </c>
      <c r="B208" s="831" t="s">
        <v>207</v>
      </c>
      <c r="C208" s="1064">
        <v>0.15</v>
      </c>
      <c r="D208" s="1064">
        <v>0.15</v>
      </c>
      <c r="E208" s="1064">
        <v>0.15</v>
      </c>
      <c r="F208" s="1065">
        <v>0.15</v>
      </c>
    </row>
    <row r="209" spans="1:6" ht="14.25" thickBot="1">
      <c r="A209" s="837" t="s">
        <v>528</v>
      </c>
      <c r="B209" s="831" t="s">
        <v>220</v>
      </c>
      <c r="C209" s="1064">
        <v>0.13700000000000001</v>
      </c>
      <c r="D209" s="1064">
        <v>0.13700000000000001</v>
      </c>
      <c r="E209" s="1064">
        <v>0.14000000000000001</v>
      </c>
      <c r="F209" s="1065">
        <v>0.11700000000000001</v>
      </c>
    </row>
    <row r="210" spans="1:6" ht="14.25" thickBot="1">
      <c r="A210" s="837" t="s">
        <v>528</v>
      </c>
      <c r="B210" s="831" t="s">
        <v>945</v>
      </c>
      <c r="C210" s="1064">
        <v>0.15</v>
      </c>
      <c r="D210" s="1064">
        <v>0.15</v>
      </c>
      <c r="E210" s="1064">
        <v>0.15</v>
      </c>
      <c r="F210" s="1065">
        <v>0.13800000000000001</v>
      </c>
    </row>
    <row r="211" spans="1:6" ht="14.25" thickBot="1">
      <c r="A211" s="837" t="s">
        <v>528</v>
      </c>
      <c r="B211" s="831" t="s">
        <v>946</v>
      </c>
      <c r="C211" s="1064">
        <v>0.13700000000000001</v>
      </c>
      <c r="D211" s="1064">
        <v>0.13500000000000001</v>
      </c>
      <c r="E211" s="1064">
        <v>0.13600000000000001</v>
      </c>
      <c r="F211" s="1065">
        <v>0.1</v>
      </c>
    </row>
    <row r="212" spans="1:6" ht="14.25" thickBot="1">
      <c r="A212" s="837" t="s">
        <v>528</v>
      </c>
      <c r="B212" s="831" t="s">
        <v>947</v>
      </c>
      <c r="C212" s="1064">
        <v>0.15</v>
      </c>
      <c r="D212" s="1064">
        <v>0.15</v>
      </c>
      <c r="E212" s="1064">
        <v>0.14799999999999999</v>
      </c>
      <c r="F212" s="1065">
        <v>0.13600000000000001</v>
      </c>
    </row>
    <row r="213" spans="1:6" ht="14.25" thickBot="1">
      <c r="A213" s="837" t="s">
        <v>528</v>
      </c>
      <c r="B213" s="831" t="s">
        <v>265</v>
      </c>
      <c r="C213" s="1064">
        <v>0.15</v>
      </c>
      <c r="D213" s="1064">
        <v>0.15</v>
      </c>
      <c r="E213" s="1064">
        <v>0.15</v>
      </c>
      <c r="F213" s="1065">
        <v>0.13800000000000001</v>
      </c>
    </row>
    <row r="214" spans="1:6" ht="14.25" thickBot="1">
      <c r="A214" s="837" t="s">
        <v>528</v>
      </c>
      <c r="B214" s="831" t="s">
        <v>277</v>
      </c>
      <c r="C214" s="1064">
        <v>9.0999999999999998E-2</v>
      </c>
      <c r="D214" s="1064">
        <v>0.09</v>
      </c>
      <c r="E214" s="1064">
        <v>9.1999999999999998E-2</v>
      </c>
      <c r="F214" s="1076"/>
    </row>
    <row r="215" spans="1:6" ht="14.25" thickBot="1">
      <c r="A215" s="837" t="s">
        <v>528</v>
      </c>
      <c r="B215" s="831" t="s">
        <v>948</v>
      </c>
      <c r="C215" s="1064">
        <v>0.15</v>
      </c>
      <c r="D215" s="1064">
        <v>0.15</v>
      </c>
      <c r="E215" s="1064">
        <v>0.15</v>
      </c>
      <c r="F215" s="1065">
        <v>0.15</v>
      </c>
    </row>
    <row r="216" spans="1:6" ht="14.25" thickBot="1">
      <c r="A216" s="837" t="s">
        <v>528</v>
      </c>
      <c r="B216" s="831" t="s">
        <v>297</v>
      </c>
      <c r="C216" s="1064">
        <v>0.14699999999999999</v>
      </c>
      <c r="D216" s="1064">
        <v>0.14699999999999999</v>
      </c>
      <c r="E216" s="1064">
        <v>0.15</v>
      </c>
      <c r="F216" s="1065">
        <v>0.14000000000000001</v>
      </c>
    </row>
    <row r="217" spans="1:6" ht="14.25" thickBot="1">
      <c r="A217" s="837" t="s">
        <v>528</v>
      </c>
      <c r="B217" s="831" t="s">
        <v>307</v>
      </c>
      <c r="C217" s="1064">
        <v>0.15</v>
      </c>
      <c r="D217" s="1064">
        <v>0.15</v>
      </c>
      <c r="E217" s="1064">
        <v>0.15</v>
      </c>
      <c r="F217" s="1065">
        <v>0.15</v>
      </c>
    </row>
    <row r="218" spans="1:6" ht="14.25" thickBot="1">
      <c r="A218" s="837" t="s">
        <v>528</v>
      </c>
      <c r="B218" s="831" t="s">
        <v>949</v>
      </c>
      <c r="C218" s="1064">
        <v>0.15</v>
      </c>
      <c r="D218" s="1064">
        <v>0.15</v>
      </c>
      <c r="E218" s="1064">
        <v>0.15</v>
      </c>
      <c r="F218" s="1065">
        <v>0.15</v>
      </c>
    </row>
    <row r="219" spans="1:6" ht="14.25" thickBot="1">
      <c r="A219" s="837" t="s">
        <v>528</v>
      </c>
      <c r="B219" s="831" t="s">
        <v>328</v>
      </c>
      <c r="C219" s="1064">
        <v>0.15</v>
      </c>
      <c r="D219" s="1064">
        <v>0.15</v>
      </c>
      <c r="E219" s="1064">
        <v>0.15</v>
      </c>
      <c r="F219" s="1065">
        <v>0.14799999999999999</v>
      </c>
    </row>
    <row r="220" spans="1:6" ht="14.25" thickBot="1">
      <c r="A220" s="837" t="s">
        <v>528</v>
      </c>
      <c r="B220" s="831" t="s">
        <v>950</v>
      </c>
      <c r="C220" s="1064">
        <v>0.15</v>
      </c>
      <c r="D220" s="1064">
        <v>0.15</v>
      </c>
      <c r="E220" s="1064">
        <v>0.15</v>
      </c>
      <c r="F220" s="1065">
        <v>0.15</v>
      </c>
    </row>
    <row r="221" spans="1:6" ht="14.25" thickBot="1">
      <c r="A221" s="837" t="s">
        <v>528</v>
      </c>
      <c r="B221" s="831" t="s">
        <v>349</v>
      </c>
      <c r="C221" s="1064"/>
      <c r="D221" s="1077"/>
      <c r="E221" s="1077"/>
      <c r="F221" s="1065">
        <v>0.14799999999999999</v>
      </c>
    </row>
    <row r="222" spans="1:6" ht="14.25" thickBot="1">
      <c r="A222" s="837" t="s">
        <v>528</v>
      </c>
      <c r="B222" s="831" t="s">
        <v>359</v>
      </c>
      <c r="C222" s="1064"/>
      <c r="D222" s="1077"/>
      <c r="E222" s="1077"/>
      <c r="F222" s="1065">
        <v>0.1</v>
      </c>
    </row>
    <row r="223" spans="1:6" ht="14.25" thickBot="1">
      <c r="A223" s="837" t="s">
        <v>528</v>
      </c>
      <c r="B223" s="831" t="s">
        <v>369</v>
      </c>
      <c r="C223" s="1064"/>
      <c r="D223" s="1077"/>
      <c r="E223" s="1077"/>
      <c r="F223" s="1065">
        <v>0.15</v>
      </c>
    </row>
    <row r="224" spans="1:6" ht="14.25" thickBot="1">
      <c r="A224" s="837" t="s">
        <v>528</v>
      </c>
      <c r="B224" s="831" t="s">
        <v>379</v>
      </c>
      <c r="C224" s="1064"/>
      <c r="D224" s="1077"/>
      <c r="E224" s="1077"/>
      <c r="F224" s="1065">
        <v>0.15</v>
      </c>
    </row>
    <row r="225" spans="1:6" ht="14.25" thickBot="1">
      <c r="A225" s="837" t="s">
        <v>528</v>
      </c>
      <c r="B225" s="831" t="s">
        <v>951</v>
      </c>
      <c r="C225" s="1064">
        <v>0.15</v>
      </c>
      <c r="D225" s="1064">
        <v>0.15</v>
      </c>
      <c r="E225" s="1064">
        <v>0.15</v>
      </c>
      <c r="F225" s="1065">
        <v>0.15</v>
      </c>
    </row>
    <row r="226" spans="1:6" ht="14.25" thickBot="1">
      <c r="A226" s="837" t="s">
        <v>528</v>
      </c>
      <c r="B226" s="831" t="s">
        <v>397</v>
      </c>
      <c r="C226" s="1064">
        <v>0.15</v>
      </c>
      <c r="D226" s="1064">
        <v>0.15</v>
      </c>
      <c r="E226" s="1064">
        <v>0.15</v>
      </c>
      <c r="F226" s="1065">
        <v>0.14799999999999999</v>
      </c>
    </row>
    <row r="227" spans="1:6" ht="14.25" thickBot="1">
      <c r="A227" s="837" t="s">
        <v>528</v>
      </c>
      <c r="B227" s="831" t="s">
        <v>952</v>
      </c>
      <c r="C227" s="1064">
        <v>0.15</v>
      </c>
      <c r="D227" s="1064">
        <v>0.15</v>
      </c>
      <c r="E227" s="1064">
        <v>0.15</v>
      </c>
      <c r="F227" s="1065">
        <v>0.15</v>
      </c>
    </row>
    <row r="228" spans="1:6" ht="14.25" thickBot="1">
      <c r="A228" s="837" t="s">
        <v>528</v>
      </c>
      <c r="B228" s="831" t="s">
        <v>412</v>
      </c>
      <c r="C228" s="1064">
        <v>0.15</v>
      </c>
      <c r="D228" s="1064">
        <v>0.15</v>
      </c>
      <c r="E228" s="1064">
        <v>0.15</v>
      </c>
      <c r="F228" s="1065">
        <v>0.15</v>
      </c>
    </row>
    <row r="229" spans="1:6" ht="14.25" thickBot="1">
      <c r="A229" s="837" t="s">
        <v>528</v>
      </c>
      <c r="B229" s="831" t="s">
        <v>419</v>
      </c>
      <c r="C229" s="1064">
        <v>0.15</v>
      </c>
      <c r="D229" s="1064">
        <v>0.15</v>
      </c>
      <c r="E229" s="1064">
        <v>0.15</v>
      </c>
      <c r="F229" s="1076"/>
    </row>
    <row r="230" spans="1:6" ht="14.25" thickBot="1">
      <c r="A230" s="837" t="s">
        <v>528</v>
      </c>
      <c r="B230" s="831" t="s">
        <v>426</v>
      </c>
      <c r="C230" s="1064">
        <v>0.14499999999999999</v>
      </c>
      <c r="D230" s="1064">
        <v>0.14499999999999999</v>
      </c>
      <c r="E230" s="1064">
        <v>0.14399999999999999</v>
      </c>
      <c r="F230" s="1076"/>
    </row>
    <row r="231" spans="1:6" ht="14.25" thickBot="1">
      <c r="A231" s="837" t="s">
        <v>528</v>
      </c>
      <c r="B231" s="831" t="s">
        <v>953</v>
      </c>
      <c r="C231" s="1064">
        <v>0.128</v>
      </c>
      <c r="D231" s="1064">
        <v>0.125</v>
      </c>
      <c r="E231" s="1064">
        <v>0.13200000000000001</v>
      </c>
      <c r="F231" s="1076"/>
    </row>
    <row r="232" spans="1:6" ht="14.25" thickBot="1">
      <c r="A232" s="837" t="s">
        <v>528</v>
      </c>
      <c r="B232" s="831" t="s">
        <v>954</v>
      </c>
      <c r="C232" s="1064">
        <v>0.14499999999999999</v>
      </c>
      <c r="D232" s="1064">
        <v>0.14399999999999999</v>
      </c>
      <c r="E232" s="1064">
        <v>0.14599999999999999</v>
      </c>
      <c r="F232" s="1065">
        <v>0.13800000000000001</v>
      </c>
    </row>
    <row r="233" spans="1:6" ht="14.25" thickBot="1">
      <c r="A233" s="837" t="s">
        <v>528</v>
      </c>
      <c r="B233" s="831" t="s">
        <v>955</v>
      </c>
      <c r="C233" s="1064">
        <v>0.14499999999999999</v>
      </c>
      <c r="D233" s="1064">
        <v>0.14299999999999999</v>
      </c>
      <c r="E233" s="1064">
        <v>0.14199999999999999</v>
      </c>
      <c r="F233" s="1076"/>
    </row>
    <row r="234" spans="1:6" ht="14.25" thickBot="1">
      <c r="A234" s="837" t="s">
        <v>528</v>
      </c>
      <c r="B234" s="831" t="s">
        <v>956</v>
      </c>
      <c r="C234" s="1064">
        <v>0.14000000000000001</v>
      </c>
      <c r="D234" s="1064">
        <v>0.14000000000000001</v>
      </c>
      <c r="E234" s="1064">
        <v>0.14399999999999999</v>
      </c>
      <c r="F234" s="1076"/>
    </row>
    <row r="235" spans="1:6" ht="14.25" thickBot="1">
      <c r="A235" s="837" t="s">
        <v>528</v>
      </c>
      <c r="B235" s="831" t="s">
        <v>957</v>
      </c>
      <c r="C235" s="1064">
        <v>0.14099999999999999</v>
      </c>
      <c r="D235" s="1064">
        <v>0.14199999999999999</v>
      </c>
      <c r="E235" s="1064">
        <v>0.14499999999999999</v>
      </c>
      <c r="F235" s="1065">
        <v>0.15</v>
      </c>
    </row>
    <row r="236" spans="1:6" ht="14.25" thickBot="1">
      <c r="A236" s="837" t="s">
        <v>528</v>
      </c>
      <c r="B236" s="831" t="s">
        <v>461</v>
      </c>
      <c r="C236" s="1077"/>
      <c r="D236" s="1077"/>
      <c r="E236" s="1077"/>
      <c r="F236" s="1065">
        <v>0.14299999999999999</v>
      </c>
    </row>
    <row r="237" spans="1:6" ht="24.75" thickBot="1">
      <c r="A237" s="837" t="s">
        <v>528</v>
      </c>
      <c r="B237" s="831" t="s">
        <v>958</v>
      </c>
      <c r="C237" s="1077"/>
      <c r="D237" s="1077"/>
      <c r="E237" s="1077"/>
      <c r="F237" s="1065">
        <v>0.05</v>
      </c>
    </row>
    <row r="238" spans="1:6" ht="24.75" thickBot="1">
      <c r="A238" s="837" t="s">
        <v>528</v>
      </c>
      <c r="B238" s="831" t="s">
        <v>959</v>
      </c>
      <c r="C238" s="1077"/>
      <c r="D238" s="1077"/>
      <c r="E238" s="1077"/>
      <c r="F238" s="1065">
        <v>0.05</v>
      </c>
    </row>
    <row r="239" spans="1:6" ht="24.75" thickBot="1">
      <c r="A239" s="837" t="s">
        <v>528</v>
      </c>
      <c r="B239" s="831" t="s">
        <v>960</v>
      </c>
      <c r="C239" s="1077"/>
      <c r="D239" s="1077"/>
      <c r="E239" s="1077"/>
      <c r="F239" s="1065">
        <v>0.05</v>
      </c>
    </row>
    <row r="240" spans="1:6" ht="24.75" thickBot="1">
      <c r="A240" s="837" t="s">
        <v>528</v>
      </c>
      <c r="B240" s="831" t="s">
        <v>961</v>
      </c>
      <c r="C240" s="1077"/>
      <c r="D240" s="1077"/>
      <c r="E240" s="1077"/>
      <c r="F240" s="1065">
        <v>0.05</v>
      </c>
    </row>
    <row r="241" spans="1:6" ht="24.75" thickBot="1">
      <c r="A241" s="837" t="s">
        <v>528</v>
      </c>
      <c r="B241" s="831" t="s">
        <v>962</v>
      </c>
      <c r="C241" s="1077"/>
      <c r="D241" s="1077"/>
      <c r="E241" s="1077"/>
      <c r="F241" s="1065">
        <v>0.05</v>
      </c>
    </row>
    <row r="242" spans="1:6" ht="24.75" thickBot="1">
      <c r="A242" s="837" t="s">
        <v>528</v>
      </c>
      <c r="B242" s="831" t="s">
        <v>963</v>
      </c>
      <c r="C242" s="1077"/>
      <c r="D242" s="1077"/>
      <c r="E242" s="1077"/>
      <c r="F242" s="1065">
        <v>0.05</v>
      </c>
    </row>
    <row r="243" spans="1:6" ht="24.75" thickBot="1">
      <c r="A243" s="837" t="s">
        <v>528</v>
      </c>
      <c r="B243" s="831" t="s">
        <v>964</v>
      </c>
      <c r="C243" s="1077"/>
      <c r="D243" s="1077"/>
      <c r="E243" s="1077"/>
      <c r="F243" s="1065">
        <v>0.05</v>
      </c>
    </row>
    <row r="244" spans="1:6" ht="24.75" thickBot="1">
      <c r="A244" s="847" t="s">
        <v>528</v>
      </c>
      <c r="B244" s="843" t="s">
        <v>965</v>
      </c>
      <c r="C244" s="1074"/>
      <c r="D244" s="1074"/>
      <c r="E244" s="1074"/>
      <c r="F244" s="1067">
        <v>0.05</v>
      </c>
    </row>
    <row r="245" spans="1:6" ht="14.25" thickBot="1">
      <c r="A245" s="837" t="s">
        <v>530</v>
      </c>
      <c r="B245" s="838" t="s">
        <v>966</v>
      </c>
      <c r="C245" s="1062">
        <v>0.15</v>
      </c>
      <c r="D245" s="1062">
        <v>0.15</v>
      </c>
      <c r="E245" s="1062">
        <v>0.15</v>
      </c>
      <c r="F245" s="1063">
        <v>0.14299999999999999</v>
      </c>
    </row>
    <row r="246" spans="1:6" ht="14.25" thickBot="1">
      <c r="A246" s="837" t="s">
        <v>530</v>
      </c>
      <c r="B246" s="831" t="s">
        <v>195</v>
      </c>
      <c r="C246" s="1064">
        <v>0.15</v>
      </c>
      <c r="D246" s="1064">
        <v>0.15</v>
      </c>
      <c r="E246" s="1064">
        <v>0.15</v>
      </c>
      <c r="F246" s="1065">
        <v>0.114</v>
      </c>
    </row>
    <row r="247" spans="1:6" ht="14.25" thickBot="1">
      <c r="A247" s="837" t="s">
        <v>530</v>
      </c>
      <c r="B247" s="831" t="s">
        <v>967</v>
      </c>
      <c r="C247" s="1064">
        <v>0.15</v>
      </c>
      <c r="D247" s="1064">
        <v>0.15</v>
      </c>
      <c r="E247" s="1064">
        <v>0.15</v>
      </c>
      <c r="F247" s="1065">
        <v>0.15</v>
      </c>
    </row>
    <row r="248" spans="1:6" ht="14.25" thickBot="1">
      <c r="A248" s="837" t="s">
        <v>530</v>
      </c>
      <c r="B248" s="831" t="s">
        <v>968</v>
      </c>
      <c r="C248" s="1064">
        <v>0.15</v>
      </c>
      <c r="D248" s="1064">
        <v>0.15</v>
      </c>
      <c r="E248" s="1064">
        <v>0.15</v>
      </c>
      <c r="F248" s="1065">
        <v>0.14000000000000001</v>
      </c>
    </row>
    <row r="249" spans="1:6" ht="14.25" thickBot="1">
      <c r="A249" s="837" t="s">
        <v>530</v>
      </c>
      <c r="B249" s="831" t="s">
        <v>969</v>
      </c>
      <c r="C249" s="1064">
        <v>0.15</v>
      </c>
      <c r="D249" s="1064">
        <v>0.14899999999999999</v>
      </c>
      <c r="E249" s="1064">
        <v>0.15</v>
      </c>
      <c r="F249" s="1065">
        <v>0.1</v>
      </c>
    </row>
    <row r="250" spans="1:6" ht="14.25" thickBot="1">
      <c r="A250" s="837" t="s">
        <v>530</v>
      </c>
      <c r="B250" s="831" t="s">
        <v>970</v>
      </c>
      <c r="C250" s="1064">
        <v>0.15</v>
      </c>
      <c r="D250" s="1064">
        <v>0.15</v>
      </c>
      <c r="E250" s="1064">
        <v>0.15</v>
      </c>
      <c r="F250" s="1065">
        <v>0.14399999999999999</v>
      </c>
    </row>
    <row r="251" spans="1:6" ht="14.25" thickBot="1">
      <c r="A251" s="837" t="s">
        <v>530</v>
      </c>
      <c r="B251" s="831" t="s">
        <v>255</v>
      </c>
      <c r="C251" s="1064">
        <v>0.15</v>
      </c>
      <c r="D251" s="1064">
        <v>0.15</v>
      </c>
      <c r="E251" s="1064">
        <v>0.15</v>
      </c>
      <c r="F251" s="1065">
        <v>0.14299999999999999</v>
      </c>
    </row>
    <row r="252" spans="1:6" ht="14.25" thickBot="1">
      <c r="A252" s="837" t="s">
        <v>530</v>
      </c>
      <c r="B252" s="831" t="s">
        <v>266</v>
      </c>
      <c r="C252" s="1064">
        <v>0.15</v>
      </c>
      <c r="D252" s="1064">
        <v>0.15</v>
      </c>
      <c r="E252" s="1064">
        <v>0.15</v>
      </c>
      <c r="F252" s="1065">
        <v>0.1</v>
      </c>
    </row>
    <row r="253" spans="1:6" ht="14.25" thickBot="1">
      <c r="A253" s="837" t="s">
        <v>530</v>
      </c>
      <c r="B253" s="831" t="s">
        <v>278</v>
      </c>
      <c r="C253" s="1064">
        <v>0.15</v>
      </c>
      <c r="D253" s="1064">
        <v>0.15</v>
      </c>
      <c r="E253" s="1064">
        <v>0.15</v>
      </c>
      <c r="F253" s="1065">
        <v>0.1</v>
      </c>
    </row>
    <row r="254" spans="1:6" ht="14.25" thickBot="1">
      <c r="A254" s="837" t="s">
        <v>530</v>
      </c>
      <c r="B254" s="831" t="s">
        <v>288</v>
      </c>
      <c r="C254" s="1077"/>
      <c r="D254" s="1077"/>
      <c r="E254" s="1077"/>
      <c r="F254" s="1065">
        <v>0.15</v>
      </c>
    </row>
    <row r="255" spans="1:6" ht="14.25" thickBot="1">
      <c r="A255" s="837" t="s">
        <v>530</v>
      </c>
      <c r="B255" s="831" t="s">
        <v>298</v>
      </c>
      <c r="C255" s="1077"/>
      <c r="D255" s="1077"/>
      <c r="E255" s="1077"/>
      <c r="F255" s="1065">
        <v>0.14299999999999999</v>
      </c>
    </row>
    <row r="256" spans="1:6" ht="14.25" thickBot="1">
      <c r="A256" s="837" t="s">
        <v>530</v>
      </c>
      <c r="B256" s="831" t="s">
        <v>971</v>
      </c>
      <c r="C256" s="1064">
        <v>0.14599999999999999</v>
      </c>
      <c r="D256" s="1064">
        <v>0.14699999999999999</v>
      </c>
      <c r="E256" s="1064">
        <v>0.15</v>
      </c>
      <c r="F256" s="1065">
        <v>0.13200000000000001</v>
      </c>
    </row>
    <row r="257" spans="1:6" ht="14.25" thickBot="1">
      <c r="A257" s="837" t="s">
        <v>530</v>
      </c>
      <c r="B257" s="831" t="s">
        <v>318</v>
      </c>
      <c r="C257" s="1064">
        <v>0.15</v>
      </c>
      <c r="D257" s="1064">
        <v>0.15</v>
      </c>
      <c r="E257" s="1064">
        <v>0.15</v>
      </c>
      <c r="F257" s="1065">
        <v>0.13900000000000001</v>
      </c>
    </row>
    <row r="258" spans="1:6" ht="14.25" thickBot="1">
      <c r="A258" s="837" t="s">
        <v>530</v>
      </c>
      <c r="B258" s="831" t="s">
        <v>329</v>
      </c>
      <c r="C258" s="1064">
        <v>0.15</v>
      </c>
      <c r="D258" s="1064">
        <v>0.15</v>
      </c>
      <c r="E258" s="1064">
        <v>0.15</v>
      </c>
      <c r="F258" s="1065">
        <v>0.13</v>
      </c>
    </row>
    <row r="259" spans="1:6" ht="14.25" thickBot="1">
      <c r="A259" s="837" t="s">
        <v>530</v>
      </c>
      <c r="B259" s="831" t="s">
        <v>972</v>
      </c>
      <c r="C259" s="1064">
        <v>0.14799999999999999</v>
      </c>
      <c r="D259" s="1064">
        <v>0.14899999999999999</v>
      </c>
      <c r="E259" s="1064">
        <v>0.15</v>
      </c>
      <c r="F259" s="1065">
        <v>0.13700000000000001</v>
      </c>
    </row>
    <row r="260" spans="1:6" ht="14.25" thickBot="1">
      <c r="A260" s="837" t="s">
        <v>530</v>
      </c>
      <c r="B260" s="831" t="s">
        <v>350</v>
      </c>
      <c r="C260" s="1064">
        <v>0.15</v>
      </c>
      <c r="D260" s="1064">
        <v>0.15</v>
      </c>
      <c r="E260" s="1064">
        <v>0.15</v>
      </c>
      <c r="F260" s="1065">
        <v>0.14199999999999999</v>
      </c>
    </row>
    <row r="261" spans="1:6" ht="14.25" thickBot="1">
      <c r="A261" s="837" t="s">
        <v>530</v>
      </c>
      <c r="B261" s="831" t="s">
        <v>360</v>
      </c>
      <c r="C261" s="1064">
        <v>0.15</v>
      </c>
      <c r="D261" s="1064">
        <v>0.15</v>
      </c>
      <c r="E261" s="1064">
        <v>0.14899999999999999</v>
      </c>
      <c r="F261" s="1065">
        <v>0.14799999999999999</v>
      </c>
    </row>
    <row r="262" spans="1:6" ht="14.25" thickBot="1">
      <c r="A262" s="837" t="s">
        <v>530</v>
      </c>
      <c r="B262" s="831" t="s">
        <v>370</v>
      </c>
      <c r="C262" s="1064">
        <v>0.15</v>
      </c>
      <c r="D262" s="1064">
        <v>0.15</v>
      </c>
      <c r="E262" s="1064">
        <v>0.15</v>
      </c>
      <c r="F262" s="1076"/>
    </row>
    <row r="263" spans="1:6" ht="14.25" thickBot="1">
      <c r="A263" s="837" t="s">
        <v>530</v>
      </c>
      <c r="B263" s="831" t="s">
        <v>973</v>
      </c>
      <c r="C263" s="1064">
        <v>0.14899999999999999</v>
      </c>
      <c r="D263" s="1064">
        <v>0.14899999999999999</v>
      </c>
      <c r="E263" s="1064">
        <v>0.15</v>
      </c>
      <c r="F263" s="1065">
        <v>0.13</v>
      </c>
    </row>
    <row r="264" spans="1:6" ht="14.25" thickBot="1">
      <c r="A264" s="837" t="s">
        <v>530</v>
      </c>
      <c r="B264" s="831" t="s">
        <v>389</v>
      </c>
      <c r="C264" s="1064">
        <v>0.14799999999999999</v>
      </c>
      <c r="D264" s="1064">
        <v>0.14699999999999999</v>
      </c>
      <c r="E264" s="1064">
        <v>0.15</v>
      </c>
      <c r="F264" s="1065">
        <v>7.8E-2</v>
      </c>
    </row>
    <row r="265" spans="1:6" ht="14.25" thickBot="1">
      <c r="A265" s="837" t="s">
        <v>530</v>
      </c>
      <c r="B265" s="831" t="s">
        <v>398</v>
      </c>
      <c r="C265" s="1064">
        <v>0.15</v>
      </c>
      <c r="D265" s="1064">
        <v>0.15</v>
      </c>
      <c r="E265" s="1064">
        <v>0.15</v>
      </c>
      <c r="F265" s="1065">
        <v>7.3999999999999996E-2</v>
      </c>
    </row>
    <row r="266" spans="1:6" ht="14.25" thickBot="1">
      <c r="A266" s="837" t="s">
        <v>530</v>
      </c>
      <c r="B266" s="831" t="s">
        <v>406</v>
      </c>
      <c r="C266" s="1064">
        <v>0.14699999999999999</v>
      </c>
      <c r="D266" s="1064">
        <v>0.14699999999999999</v>
      </c>
      <c r="E266" s="1064">
        <v>0.15</v>
      </c>
      <c r="F266" s="1065">
        <v>0.14299999999999999</v>
      </c>
    </row>
    <row r="267" spans="1:6" ht="14.25" thickBot="1">
      <c r="A267" s="837" t="s">
        <v>530</v>
      </c>
      <c r="B267" s="831" t="s">
        <v>413</v>
      </c>
      <c r="C267" s="1064">
        <v>0.14199999999999999</v>
      </c>
      <c r="D267" s="1064">
        <v>0.14299999999999999</v>
      </c>
      <c r="E267" s="1064">
        <v>0.15</v>
      </c>
      <c r="F267" s="1076"/>
    </row>
    <row r="268" spans="1:6" ht="14.25" thickBot="1">
      <c r="A268" s="837" t="s">
        <v>530</v>
      </c>
      <c r="B268" s="831" t="s">
        <v>974</v>
      </c>
      <c r="C268" s="1064">
        <v>0.15</v>
      </c>
      <c r="D268" s="1064">
        <v>0.15</v>
      </c>
      <c r="E268" s="1064">
        <v>0.15</v>
      </c>
      <c r="F268" s="1065">
        <v>0.13</v>
      </c>
    </row>
    <row r="269" spans="1:6" ht="14.25" thickBot="1">
      <c r="A269" s="837" t="s">
        <v>530</v>
      </c>
      <c r="B269" s="831" t="s">
        <v>427</v>
      </c>
      <c r="C269" s="1064">
        <v>0.15</v>
      </c>
      <c r="D269" s="1064">
        <v>0.15</v>
      </c>
      <c r="E269" s="1064">
        <v>0.15</v>
      </c>
      <c r="F269" s="1065">
        <v>0.14299999999999999</v>
      </c>
    </row>
    <row r="270" spans="1:6" ht="14.25" thickBot="1">
      <c r="A270" s="837" t="s">
        <v>530</v>
      </c>
      <c r="B270" s="831" t="s">
        <v>434</v>
      </c>
      <c r="C270" s="1064">
        <v>0.14499999999999999</v>
      </c>
      <c r="D270" s="1064">
        <v>0.14499999999999999</v>
      </c>
      <c r="E270" s="1064">
        <v>0.15</v>
      </c>
      <c r="F270" s="1065">
        <v>0.14699999999999999</v>
      </c>
    </row>
    <row r="271" spans="1:6" ht="14.25" thickBot="1">
      <c r="A271" s="837" t="s">
        <v>530</v>
      </c>
      <c r="B271" s="831" t="s">
        <v>441</v>
      </c>
      <c r="C271" s="1064">
        <v>0.15</v>
      </c>
      <c r="D271" s="1064">
        <v>0.15</v>
      </c>
      <c r="E271" s="1064">
        <v>0.15</v>
      </c>
      <c r="F271" s="1065">
        <v>0.13800000000000001</v>
      </c>
    </row>
    <row r="272" spans="1:6" ht="14.25" thickBot="1">
      <c r="A272" s="837" t="s">
        <v>530</v>
      </c>
      <c r="B272" s="831" t="s">
        <v>448</v>
      </c>
      <c r="C272" s="1077"/>
      <c r="D272" s="1077"/>
      <c r="E272" s="1077"/>
      <c r="F272" s="1065">
        <v>0.14000000000000001</v>
      </c>
    </row>
    <row r="273" spans="1:6" ht="14.25" thickBot="1">
      <c r="A273" s="837" t="s">
        <v>530</v>
      </c>
      <c r="B273" s="831" t="s">
        <v>975</v>
      </c>
      <c r="C273" s="1064">
        <v>0.14199999999999999</v>
      </c>
      <c r="D273" s="1064">
        <v>0.14299999999999999</v>
      </c>
      <c r="E273" s="1064">
        <v>0.15</v>
      </c>
      <c r="F273" s="1065">
        <v>0.1</v>
      </c>
    </row>
    <row r="274" spans="1:6" ht="14.25" thickBot="1">
      <c r="A274" s="837" t="s">
        <v>530</v>
      </c>
      <c r="B274" s="831" t="s">
        <v>976</v>
      </c>
      <c r="C274" s="1064">
        <v>0.14799999999999999</v>
      </c>
      <c r="D274" s="1064">
        <v>0.14799999999999999</v>
      </c>
      <c r="E274" s="1064">
        <v>0.15</v>
      </c>
      <c r="F274" s="1065">
        <v>6.7000000000000004E-2</v>
      </c>
    </row>
    <row r="275" spans="1:6" ht="14.25" thickBot="1">
      <c r="A275" s="837" t="s">
        <v>530</v>
      </c>
      <c r="B275" s="831" t="s">
        <v>977</v>
      </c>
      <c r="C275" s="1064">
        <v>0.15</v>
      </c>
      <c r="D275" s="1064">
        <v>0.15</v>
      </c>
      <c r="E275" s="1064">
        <v>0.15</v>
      </c>
      <c r="F275" s="1065">
        <v>0.15</v>
      </c>
    </row>
    <row r="276" spans="1:6" ht="14.25" thickBot="1">
      <c r="A276" s="837" t="s">
        <v>530</v>
      </c>
      <c r="B276" s="831" t="s">
        <v>978</v>
      </c>
      <c r="C276" s="1064">
        <v>0.14499999999999999</v>
      </c>
      <c r="D276" s="1064">
        <v>0.14299999999999999</v>
      </c>
      <c r="E276" s="1064">
        <v>0.15</v>
      </c>
      <c r="F276" s="1065">
        <v>5.8999999999999997E-2</v>
      </c>
    </row>
    <row r="277" spans="1:6" ht="14.25" thickBot="1">
      <c r="A277" s="837" t="s">
        <v>530</v>
      </c>
      <c r="B277" s="831" t="s">
        <v>979</v>
      </c>
      <c r="C277" s="1064">
        <v>0.15</v>
      </c>
      <c r="D277" s="1064">
        <v>0.15</v>
      </c>
      <c r="E277" s="1064">
        <v>0.15</v>
      </c>
      <c r="F277" s="1065">
        <v>0.121</v>
      </c>
    </row>
    <row r="278" spans="1:6" ht="14.25" thickBot="1">
      <c r="A278" s="837" t="s">
        <v>530</v>
      </c>
      <c r="B278" s="831" t="s">
        <v>980</v>
      </c>
      <c r="C278" s="1064">
        <v>0.15</v>
      </c>
      <c r="D278" s="1064">
        <v>0.15</v>
      </c>
      <c r="E278" s="1064">
        <v>0.15</v>
      </c>
      <c r="F278" s="1065">
        <v>0.13800000000000001</v>
      </c>
    </row>
    <row r="279" spans="1:6" ht="24.75" thickBot="1">
      <c r="A279" s="837" t="s">
        <v>530</v>
      </c>
      <c r="B279" s="831" t="s">
        <v>981</v>
      </c>
      <c r="C279" s="1077"/>
      <c r="D279" s="1077"/>
      <c r="E279" s="1077"/>
      <c r="F279" s="1065">
        <v>0.05</v>
      </c>
    </row>
    <row r="280" spans="1:6" ht="24.75" thickBot="1">
      <c r="A280" s="837" t="s">
        <v>530</v>
      </c>
      <c r="B280" s="831" t="s">
        <v>982</v>
      </c>
      <c r="C280" s="1077"/>
      <c r="D280" s="1077"/>
      <c r="E280" s="1077"/>
      <c r="F280" s="1065">
        <v>0.05</v>
      </c>
    </row>
    <row r="281" spans="1:6" ht="24.75" thickBot="1">
      <c r="A281" s="837" t="s">
        <v>530</v>
      </c>
      <c r="B281" s="831" t="s">
        <v>983</v>
      </c>
      <c r="C281" s="1077"/>
      <c r="D281" s="1077"/>
      <c r="E281" s="1077"/>
      <c r="F281" s="1065">
        <v>0.05</v>
      </c>
    </row>
    <row r="282" spans="1:6" ht="24.75" thickBot="1">
      <c r="A282" s="837" t="s">
        <v>530</v>
      </c>
      <c r="B282" s="831" t="s">
        <v>984</v>
      </c>
      <c r="C282" s="1077"/>
      <c r="D282" s="1077"/>
      <c r="E282" s="1077"/>
      <c r="F282" s="1065">
        <v>0.05</v>
      </c>
    </row>
    <row r="283" spans="1:6" ht="24.75" thickBot="1">
      <c r="A283" s="837" t="s">
        <v>530</v>
      </c>
      <c r="B283" s="831" t="s">
        <v>985</v>
      </c>
      <c r="C283" s="1077"/>
      <c r="D283" s="1077"/>
      <c r="E283" s="1077"/>
      <c r="F283" s="1065">
        <v>0.05</v>
      </c>
    </row>
    <row r="284" spans="1:6" ht="24.75" thickBot="1">
      <c r="A284" s="837" t="s">
        <v>530</v>
      </c>
      <c r="B284" s="831" t="s">
        <v>986</v>
      </c>
      <c r="C284" s="1077"/>
      <c r="D284" s="1077"/>
      <c r="E284" s="1077"/>
      <c r="F284" s="1065">
        <v>0.05</v>
      </c>
    </row>
    <row r="285" spans="1:6" ht="24.75" thickBot="1">
      <c r="A285" s="837" t="s">
        <v>530</v>
      </c>
      <c r="B285" s="831" t="s">
        <v>987</v>
      </c>
      <c r="C285" s="1077"/>
      <c r="D285" s="1077"/>
      <c r="E285" s="1077"/>
      <c r="F285" s="1065">
        <v>0.05</v>
      </c>
    </row>
    <row r="286" spans="1:6" ht="24.75" thickBot="1">
      <c r="A286" s="837" t="s">
        <v>530</v>
      </c>
      <c r="B286" s="831" t="s">
        <v>988</v>
      </c>
      <c r="C286" s="1077"/>
      <c r="D286" s="1077"/>
      <c r="E286" s="1077"/>
      <c r="F286" s="1065">
        <v>0.05</v>
      </c>
    </row>
    <row r="287" spans="1:6" ht="24.75" thickBot="1">
      <c r="A287" s="837" t="s">
        <v>530</v>
      </c>
      <c r="B287" s="831" t="s">
        <v>989</v>
      </c>
      <c r="C287" s="1077"/>
      <c r="D287" s="1077"/>
      <c r="E287" s="1077"/>
      <c r="F287" s="1065">
        <v>0.05</v>
      </c>
    </row>
    <row r="288" spans="1:6" ht="24.75" thickBot="1">
      <c r="A288" s="837" t="s">
        <v>530</v>
      </c>
      <c r="B288" s="831" t="s">
        <v>990</v>
      </c>
      <c r="C288" s="1077"/>
      <c r="D288" s="1077"/>
      <c r="E288" s="1077"/>
      <c r="F288" s="1065">
        <v>0.05</v>
      </c>
    </row>
    <row r="289" spans="1:6" ht="24.75" thickBot="1">
      <c r="A289" s="847" t="s">
        <v>530</v>
      </c>
      <c r="B289" s="843" t="s">
        <v>991</v>
      </c>
      <c r="C289" s="1074"/>
      <c r="D289" s="1074"/>
      <c r="E289" s="1074"/>
      <c r="F289" s="1067">
        <v>0.05</v>
      </c>
    </row>
    <row r="290" spans="1:6" ht="14.25" thickBot="1">
      <c r="A290" s="837" t="s">
        <v>534</v>
      </c>
      <c r="B290" s="838" t="s">
        <v>992</v>
      </c>
      <c r="C290" s="1062">
        <v>0.15</v>
      </c>
      <c r="D290" s="1062">
        <v>0.15</v>
      </c>
      <c r="E290" s="1062">
        <v>0.15</v>
      </c>
      <c r="F290" s="1079"/>
    </row>
    <row r="291" spans="1:6" ht="14.25" thickBot="1">
      <c r="A291" s="837" t="s">
        <v>534</v>
      </c>
      <c r="B291" s="831" t="s">
        <v>196</v>
      </c>
      <c r="C291" s="1064">
        <v>0.15</v>
      </c>
      <c r="D291" s="1064">
        <v>0.15</v>
      </c>
      <c r="E291" s="1064">
        <v>0.15</v>
      </c>
      <c r="F291" s="1076"/>
    </row>
    <row r="292" spans="1:6" ht="14.25" thickBot="1">
      <c r="A292" s="837" t="s">
        <v>534</v>
      </c>
      <c r="B292" s="831" t="s">
        <v>993</v>
      </c>
      <c r="C292" s="1064">
        <v>0.15</v>
      </c>
      <c r="D292" s="1064">
        <v>0.15</v>
      </c>
      <c r="E292" s="1064">
        <v>0.15</v>
      </c>
      <c r="F292" s="1065">
        <v>0.14699999999999999</v>
      </c>
    </row>
    <row r="293" spans="1:6" ht="14.25" thickBot="1">
      <c r="A293" s="837" t="s">
        <v>534</v>
      </c>
      <c r="B293" s="831" t="s">
        <v>994</v>
      </c>
      <c r="C293" s="1077"/>
      <c r="D293" s="1077"/>
      <c r="E293" s="1077"/>
      <c r="F293" s="1065">
        <v>0.1</v>
      </c>
    </row>
    <row r="294" spans="1:6" ht="14.25" thickBot="1">
      <c r="A294" s="837" t="s">
        <v>534</v>
      </c>
      <c r="B294" s="831" t="s">
        <v>995</v>
      </c>
      <c r="C294" s="1064">
        <v>0.15</v>
      </c>
      <c r="D294" s="1064">
        <v>0.15</v>
      </c>
      <c r="E294" s="1064">
        <v>0.15</v>
      </c>
      <c r="F294" s="1065">
        <v>0.15</v>
      </c>
    </row>
    <row r="295" spans="1:6" ht="14.25" thickBot="1">
      <c r="A295" s="837" t="s">
        <v>534</v>
      </c>
      <c r="B295" s="831" t="s">
        <v>234</v>
      </c>
      <c r="C295" s="1064">
        <v>0.15</v>
      </c>
      <c r="D295" s="1064">
        <v>0.15</v>
      </c>
      <c r="E295" s="1064">
        <v>0.15</v>
      </c>
      <c r="F295" s="1065">
        <v>0.15</v>
      </c>
    </row>
    <row r="296" spans="1:6" ht="14.25" thickBot="1">
      <c r="A296" s="837" t="s">
        <v>534</v>
      </c>
      <c r="B296" s="831" t="s">
        <v>996</v>
      </c>
      <c r="C296" s="1064">
        <v>0.15</v>
      </c>
      <c r="D296" s="1064">
        <v>0.15</v>
      </c>
      <c r="E296" s="1064">
        <v>0.15</v>
      </c>
      <c r="F296" s="1065">
        <v>0.15</v>
      </c>
    </row>
    <row r="297" spans="1:6" ht="14.25" thickBot="1">
      <c r="A297" s="837" t="s">
        <v>534</v>
      </c>
      <c r="B297" s="831" t="s">
        <v>997</v>
      </c>
      <c r="C297" s="1064">
        <v>0.14799999999999999</v>
      </c>
      <c r="D297" s="1064">
        <v>0.14899999999999999</v>
      </c>
      <c r="E297" s="1064">
        <v>0.15</v>
      </c>
      <c r="F297" s="1065">
        <v>0.13700000000000001</v>
      </c>
    </row>
    <row r="298" spans="1:6" ht="14.25" thickBot="1">
      <c r="A298" s="837" t="s">
        <v>534</v>
      </c>
      <c r="B298" s="831" t="s">
        <v>267</v>
      </c>
      <c r="C298" s="1064">
        <v>0.13400000000000001</v>
      </c>
      <c r="D298" s="1064">
        <v>0.13400000000000001</v>
      </c>
      <c r="E298" s="1064">
        <v>0.14499999999999999</v>
      </c>
      <c r="F298" s="1065">
        <v>0.14799999999999999</v>
      </c>
    </row>
    <row r="299" spans="1:6" ht="14.25" thickBot="1">
      <c r="A299" s="837" t="s">
        <v>534</v>
      </c>
      <c r="B299" s="831" t="s">
        <v>279</v>
      </c>
      <c r="C299" s="1064">
        <v>0.15</v>
      </c>
      <c r="D299" s="1064">
        <v>0.15</v>
      </c>
      <c r="E299" s="1064">
        <v>0.15</v>
      </c>
      <c r="F299" s="1076"/>
    </row>
    <row r="300" spans="1:6" ht="14.25" thickBot="1">
      <c r="A300" s="837" t="s">
        <v>534</v>
      </c>
      <c r="B300" s="831" t="s">
        <v>998</v>
      </c>
      <c r="C300" s="1064">
        <v>0.15</v>
      </c>
      <c r="D300" s="1064">
        <v>0.15</v>
      </c>
      <c r="E300" s="1064">
        <v>0.15</v>
      </c>
      <c r="F300" s="1065">
        <v>0.15</v>
      </c>
    </row>
    <row r="301" spans="1:6" ht="14.25" thickBot="1">
      <c r="A301" s="837" t="s">
        <v>534</v>
      </c>
      <c r="B301" s="831" t="s">
        <v>299</v>
      </c>
      <c r="C301" s="1064">
        <v>0.15</v>
      </c>
      <c r="D301" s="1064">
        <v>0.15</v>
      </c>
      <c r="E301" s="1064">
        <v>0.15</v>
      </c>
      <c r="F301" s="1076"/>
    </row>
    <row r="302" spans="1:6" ht="14.25" thickBot="1">
      <c r="A302" s="837" t="s">
        <v>534</v>
      </c>
      <c r="B302" s="831" t="s">
        <v>999</v>
      </c>
      <c r="C302" s="1064">
        <v>0.15</v>
      </c>
      <c r="D302" s="1064">
        <v>0.15</v>
      </c>
      <c r="E302" s="1064">
        <v>0.15</v>
      </c>
      <c r="F302" s="1065">
        <v>0.15</v>
      </c>
    </row>
    <row r="303" spans="1:6" ht="14.25" thickBot="1">
      <c r="A303" s="837" t="s">
        <v>534</v>
      </c>
      <c r="B303" s="831" t="s">
        <v>319</v>
      </c>
      <c r="C303" s="1064">
        <v>0.15</v>
      </c>
      <c r="D303" s="1064">
        <v>0.15</v>
      </c>
      <c r="E303" s="1064">
        <v>0.15</v>
      </c>
      <c r="F303" s="1065">
        <v>0.15</v>
      </c>
    </row>
    <row r="304" spans="1:6" ht="14.25" thickBot="1">
      <c r="A304" s="837" t="s">
        <v>534</v>
      </c>
      <c r="B304" s="831" t="s">
        <v>330</v>
      </c>
      <c r="C304" s="1064">
        <v>0.15</v>
      </c>
      <c r="D304" s="1064">
        <v>0.15</v>
      </c>
      <c r="E304" s="1064">
        <v>0.15</v>
      </c>
      <c r="F304" s="1076"/>
    </row>
    <row r="305" spans="1:6" ht="14.25" thickBot="1">
      <c r="A305" s="837" t="s">
        <v>534</v>
      </c>
      <c r="B305" s="831" t="s">
        <v>1000</v>
      </c>
      <c r="C305" s="1064">
        <v>0.15</v>
      </c>
      <c r="D305" s="1064">
        <v>0.15</v>
      </c>
      <c r="E305" s="1064">
        <v>0.15</v>
      </c>
      <c r="F305" s="1065">
        <v>0.14000000000000001</v>
      </c>
    </row>
    <row r="306" spans="1:6" ht="14.25" thickBot="1">
      <c r="A306" s="837" t="s">
        <v>534</v>
      </c>
      <c r="B306" s="831" t="s">
        <v>351</v>
      </c>
      <c r="C306" s="1064">
        <v>0.15</v>
      </c>
      <c r="D306" s="1064">
        <v>0.15</v>
      </c>
      <c r="E306" s="1064">
        <v>0.15</v>
      </c>
      <c r="F306" s="1076"/>
    </row>
    <row r="307" spans="1:6" ht="14.25" thickBot="1">
      <c r="A307" s="837" t="s">
        <v>534</v>
      </c>
      <c r="B307" s="831" t="s">
        <v>1001</v>
      </c>
      <c r="C307" s="1064">
        <v>0.15</v>
      </c>
      <c r="D307" s="1064">
        <v>0.15</v>
      </c>
      <c r="E307" s="1064">
        <v>0.15</v>
      </c>
      <c r="F307" s="1065">
        <v>0.14299999999999999</v>
      </c>
    </row>
    <row r="308" spans="1:6" ht="14.25" thickBot="1">
      <c r="A308" s="837" t="s">
        <v>534</v>
      </c>
      <c r="B308" s="831" t="s">
        <v>371</v>
      </c>
      <c r="C308" s="1064">
        <v>0.15</v>
      </c>
      <c r="D308" s="1064">
        <v>0.15</v>
      </c>
      <c r="E308" s="1064">
        <v>0.15</v>
      </c>
      <c r="F308" s="1065">
        <v>0.15</v>
      </c>
    </row>
    <row r="309" spans="1:6" ht="14.25" thickBot="1">
      <c r="A309" s="837" t="s">
        <v>534</v>
      </c>
      <c r="B309" s="831" t="s">
        <v>381</v>
      </c>
      <c r="C309" s="1064">
        <v>0.15</v>
      </c>
      <c r="D309" s="1064">
        <v>0.15</v>
      </c>
      <c r="E309" s="1064">
        <v>0.15</v>
      </c>
      <c r="F309" s="1076"/>
    </row>
    <row r="310" spans="1:6" ht="14.25" thickBot="1">
      <c r="A310" s="837" t="s">
        <v>534</v>
      </c>
      <c r="B310" s="831" t="s">
        <v>1002</v>
      </c>
      <c r="C310" s="1064">
        <v>0.15</v>
      </c>
      <c r="D310" s="1064">
        <v>0.15</v>
      </c>
      <c r="E310" s="1064">
        <v>0.15</v>
      </c>
      <c r="F310" s="1065">
        <v>0.13700000000000001</v>
      </c>
    </row>
    <row r="311" spans="1:6" ht="14.25" thickBot="1">
      <c r="A311" s="837" t="s">
        <v>534</v>
      </c>
      <c r="B311" s="831" t="s">
        <v>1003</v>
      </c>
      <c r="C311" s="1064">
        <v>0.15</v>
      </c>
      <c r="D311" s="1064">
        <v>0.15</v>
      </c>
      <c r="E311" s="1064">
        <v>0.15</v>
      </c>
      <c r="F311" s="1065">
        <v>0.15</v>
      </c>
    </row>
    <row r="312" spans="1:6" ht="14.25" thickBot="1">
      <c r="A312" s="837" t="s">
        <v>534</v>
      </c>
      <c r="B312" s="831" t="s">
        <v>407</v>
      </c>
      <c r="C312" s="1064">
        <v>0.15</v>
      </c>
      <c r="D312" s="1064">
        <v>0.15</v>
      </c>
      <c r="E312" s="1064">
        <v>0.15</v>
      </c>
      <c r="F312" s="1065">
        <v>0.1</v>
      </c>
    </row>
    <row r="313" spans="1:6" ht="14.25" thickBot="1">
      <c r="A313" s="837" t="s">
        <v>534</v>
      </c>
      <c r="B313" s="831" t="s">
        <v>1004</v>
      </c>
      <c r="C313" s="1064">
        <v>0.15</v>
      </c>
      <c r="D313" s="1064">
        <v>0.15</v>
      </c>
      <c r="E313" s="1064">
        <v>0.15</v>
      </c>
      <c r="F313" s="1065">
        <v>0.15</v>
      </c>
    </row>
    <row r="314" spans="1:6" ht="24.75" thickBot="1">
      <c r="A314" s="837" t="s">
        <v>534</v>
      </c>
      <c r="B314" s="831" t="s">
        <v>1005</v>
      </c>
      <c r="C314" s="1077"/>
      <c r="D314" s="1077"/>
      <c r="E314" s="1077"/>
      <c r="F314" s="1065">
        <v>0.05</v>
      </c>
    </row>
    <row r="315" spans="1:6" ht="24.75" thickBot="1">
      <c r="A315" s="837" t="s">
        <v>534</v>
      </c>
      <c r="B315" s="831" t="s">
        <v>1006</v>
      </c>
      <c r="C315" s="1077"/>
      <c r="D315" s="1077"/>
      <c r="E315" s="1077"/>
      <c r="F315" s="1065">
        <v>0.05</v>
      </c>
    </row>
    <row r="316" spans="1:6" ht="24.75" thickBot="1">
      <c r="A316" s="847" t="s">
        <v>534</v>
      </c>
      <c r="B316" s="843" t="s">
        <v>1007</v>
      </c>
      <c r="C316" s="1074"/>
      <c r="D316" s="1074"/>
      <c r="E316" s="1074"/>
      <c r="F316" s="1067">
        <v>0.05</v>
      </c>
    </row>
    <row r="317" spans="1:6" ht="14.25" thickBot="1">
      <c r="A317" s="837" t="s">
        <v>1008</v>
      </c>
      <c r="B317" s="838" t="s">
        <v>1009</v>
      </c>
      <c r="C317" s="1062">
        <v>0.15</v>
      </c>
      <c r="D317" s="1062">
        <v>0.15</v>
      </c>
      <c r="E317" s="1062">
        <v>0.15</v>
      </c>
      <c r="F317" s="1063">
        <v>0.15</v>
      </c>
    </row>
    <row r="318" spans="1:6" ht="14.25" thickBot="1">
      <c r="A318" s="837" t="s">
        <v>1008</v>
      </c>
      <c r="B318" s="831" t="s">
        <v>1010</v>
      </c>
      <c r="C318" s="1064">
        <v>0.107</v>
      </c>
      <c r="D318" s="1064">
        <v>0.11</v>
      </c>
      <c r="E318" s="1064">
        <v>0.112</v>
      </c>
      <c r="F318" s="1076"/>
    </row>
    <row r="319" spans="1:6" ht="14.25" thickBot="1">
      <c r="A319" s="837" t="s">
        <v>1008</v>
      </c>
      <c r="B319" s="831" t="s">
        <v>1011</v>
      </c>
      <c r="C319" s="1064">
        <v>0.15</v>
      </c>
      <c r="D319" s="1064">
        <v>0.15</v>
      </c>
      <c r="E319" s="1064">
        <v>0.15</v>
      </c>
      <c r="F319" s="1065">
        <v>0.15</v>
      </c>
    </row>
    <row r="320" spans="1:6" ht="14.25" thickBot="1">
      <c r="A320" s="837" t="s">
        <v>1008</v>
      </c>
      <c r="B320" s="831" t="s">
        <v>223</v>
      </c>
      <c r="C320" s="1064">
        <v>0.15</v>
      </c>
      <c r="D320" s="1064">
        <v>0.15</v>
      </c>
      <c r="E320" s="1064">
        <v>0.15</v>
      </c>
      <c r="F320" s="1076"/>
    </row>
    <row r="321" spans="1:6" ht="14.25" thickBot="1">
      <c r="A321" s="837" t="s">
        <v>1008</v>
      </c>
      <c r="B321" s="831" t="s">
        <v>1012</v>
      </c>
      <c r="C321" s="1064">
        <v>0.15</v>
      </c>
      <c r="D321" s="1064">
        <v>0.15</v>
      </c>
      <c r="E321" s="1064">
        <v>0.15</v>
      </c>
      <c r="F321" s="1076"/>
    </row>
    <row r="322" spans="1:6" ht="14.25" thickBot="1">
      <c r="A322" s="837" t="s">
        <v>1008</v>
      </c>
      <c r="B322" s="831" t="s">
        <v>1013</v>
      </c>
      <c r="C322" s="1064">
        <v>0.15</v>
      </c>
      <c r="D322" s="1064">
        <v>0.15</v>
      </c>
      <c r="E322" s="1064">
        <v>0.15</v>
      </c>
      <c r="F322" s="1065">
        <v>0.15</v>
      </c>
    </row>
    <row r="323" spans="1:6" ht="14.25" thickBot="1">
      <c r="A323" s="837" t="s">
        <v>1008</v>
      </c>
      <c r="B323" s="831" t="s">
        <v>1014</v>
      </c>
      <c r="C323" s="1064">
        <v>0.15</v>
      </c>
      <c r="D323" s="1064">
        <v>0.15</v>
      </c>
      <c r="E323" s="1064">
        <v>0.15</v>
      </c>
      <c r="F323" s="1076"/>
    </row>
    <row r="324" spans="1:6" ht="14.25" thickBot="1">
      <c r="A324" s="837" t="s">
        <v>1008</v>
      </c>
      <c r="B324" s="831" t="s">
        <v>1015</v>
      </c>
      <c r="C324" s="1064">
        <v>0.15</v>
      </c>
      <c r="D324" s="1064">
        <v>0.15</v>
      </c>
      <c r="E324" s="1064">
        <v>0.15</v>
      </c>
      <c r="F324" s="1076"/>
    </row>
    <row r="325" spans="1:6" ht="14.25" thickBot="1">
      <c r="A325" s="837" t="s">
        <v>1008</v>
      </c>
      <c r="B325" s="831" t="s">
        <v>1016</v>
      </c>
      <c r="C325" s="1064">
        <v>0.15</v>
      </c>
      <c r="D325" s="1064">
        <v>0.15</v>
      </c>
      <c r="E325" s="1064">
        <v>0.15</v>
      </c>
      <c r="F325" s="1065">
        <v>0.14699999999999999</v>
      </c>
    </row>
    <row r="326" spans="1:6" ht="14.25" thickBot="1">
      <c r="A326" s="837" t="s">
        <v>1008</v>
      </c>
      <c r="B326" s="831" t="s">
        <v>290</v>
      </c>
      <c r="C326" s="1064">
        <v>0.15</v>
      </c>
      <c r="D326" s="1064">
        <v>0.15</v>
      </c>
      <c r="E326" s="1064">
        <v>0.15</v>
      </c>
      <c r="F326" s="1076"/>
    </row>
    <row r="327" spans="1:6" ht="14.25" thickBot="1">
      <c r="A327" s="837" t="s">
        <v>1008</v>
      </c>
      <c r="B327" s="831" t="s">
        <v>1017</v>
      </c>
      <c r="C327" s="1064">
        <v>0.15</v>
      </c>
      <c r="D327" s="1064">
        <v>0.15</v>
      </c>
      <c r="E327" s="1064">
        <v>0.15</v>
      </c>
      <c r="F327" s="1065">
        <v>0.15</v>
      </c>
    </row>
    <row r="328" spans="1:6" ht="14.25" thickBot="1">
      <c r="A328" s="837" t="s">
        <v>1008</v>
      </c>
      <c r="B328" s="831" t="s">
        <v>310</v>
      </c>
      <c r="C328" s="1064">
        <v>0.15</v>
      </c>
      <c r="D328" s="1064">
        <v>0.15</v>
      </c>
      <c r="E328" s="1064">
        <v>0.15</v>
      </c>
      <c r="F328" s="1065">
        <v>0.14099999999999999</v>
      </c>
    </row>
    <row r="329" spans="1:6" ht="14.25" thickBot="1">
      <c r="A329" s="837" t="s">
        <v>1008</v>
      </c>
      <c r="B329" s="831" t="s">
        <v>320</v>
      </c>
      <c r="C329" s="1064">
        <v>0.15</v>
      </c>
      <c r="D329" s="1064">
        <v>0.15</v>
      </c>
      <c r="E329" s="1064">
        <v>0.15</v>
      </c>
      <c r="F329" s="1065">
        <v>0.15</v>
      </c>
    </row>
    <row r="330" spans="1:6" ht="14.25" thickBot="1">
      <c r="A330" s="837" t="s">
        <v>1008</v>
      </c>
      <c r="B330" s="831" t="s">
        <v>331</v>
      </c>
      <c r="C330" s="1064">
        <v>0.15</v>
      </c>
      <c r="D330" s="1064">
        <v>0.15</v>
      </c>
      <c r="E330" s="1064">
        <v>0.15</v>
      </c>
      <c r="F330" s="1076"/>
    </row>
    <row r="331" spans="1:6" ht="14.25" thickBot="1">
      <c r="A331" s="837" t="s">
        <v>1008</v>
      </c>
      <c r="B331" s="831" t="s">
        <v>1018</v>
      </c>
      <c r="C331" s="1064">
        <v>0.15</v>
      </c>
      <c r="D331" s="1064">
        <v>0.15</v>
      </c>
      <c r="E331" s="1064">
        <v>0.15</v>
      </c>
      <c r="F331" s="1065">
        <v>0.15</v>
      </c>
    </row>
    <row r="332" spans="1:6" ht="14.25" thickBot="1">
      <c r="A332" s="837" t="s">
        <v>1008</v>
      </c>
      <c r="B332" s="831" t="s">
        <v>352</v>
      </c>
      <c r="C332" s="1064">
        <v>0.15</v>
      </c>
      <c r="D332" s="1064">
        <v>0.15</v>
      </c>
      <c r="E332" s="1064">
        <v>0.15</v>
      </c>
      <c r="F332" s="1065">
        <v>0.15</v>
      </c>
    </row>
    <row r="333" spans="1:6" ht="14.25" thickBot="1">
      <c r="A333" s="837" t="s">
        <v>1008</v>
      </c>
      <c r="B333" s="831" t="s">
        <v>1019</v>
      </c>
      <c r="C333" s="1064">
        <v>0.15</v>
      </c>
      <c r="D333" s="1064">
        <v>0.15</v>
      </c>
      <c r="E333" s="1064">
        <v>0.15</v>
      </c>
      <c r="F333" s="1065">
        <v>0.14099999999999999</v>
      </c>
    </row>
    <row r="334" spans="1:6" ht="14.25" thickBot="1">
      <c r="A334" s="837" t="s">
        <v>1008</v>
      </c>
      <c r="B334" s="831" t="s">
        <v>372</v>
      </c>
      <c r="C334" s="1064">
        <v>0.15</v>
      </c>
      <c r="D334" s="1064">
        <v>0.15</v>
      </c>
      <c r="E334" s="1064">
        <v>0.15</v>
      </c>
      <c r="F334" s="1065">
        <v>0.15</v>
      </c>
    </row>
    <row r="335" spans="1:6" ht="14.25" thickBot="1">
      <c r="A335" s="837" t="s">
        <v>1008</v>
      </c>
      <c r="B335" s="831" t="s">
        <v>382</v>
      </c>
      <c r="C335" s="1064">
        <v>0.15</v>
      </c>
      <c r="D335" s="1064">
        <v>0.15</v>
      </c>
      <c r="E335" s="1064">
        <v>0.15</v>
      </c>
      <c r="F335" s="1076"/>
    </row>
    <row r="336" spans="1:6" ht="14.25" thickBot="1">
      <c r="A336" s="837" t="s">
        <v>1008</v>
      </c>
      <c r="B336" s="831" t="s">
        <v>1020</v>
      </c>
      <c r="C336" s="1064">
        <v>0.15</v>
      </c>
      <c r="D336" s="1064">
        <v>0.15</v>
      </c>
      <c r="E336" s="1064">
        <v>0.15</v>
      </c>
      <c r="F336" s="1065">
        <v>0.11799999999999999</v>
      </c>
    </row>
    <row r="337" spans="1:6" ht="14.25" thickBot="1">
      <c r="A337" s="847" t="s">
        <v>1008</v>
      </c>
      <c r="B337" s="843" t="s">
        <v>400</v>
      </c>
      <c r="C337" s="1074"/>
      <c r="D337" s="1074"/>
      <c r="E337" s="1074"/>
      <c r="F337" s="1067">
        <v>0.14299999999999999</v>
      </c>
    </row>
    <row r="338" spans="1:6" ht="14.25" thickBot="1">
      <c r="A338" s="837" t="s">
        <v>1021</v>
      </c>
      <c r="B338" s="838" t="s">
        <v>1022</v>
      </c>
      <c r="C338" s="1062">
        <v>0.15</v>
      </c>
      <c r="D338" s="1062">
        <v>0.15</v>
      </c>
      <c r="E338" s="1062">
        <v>0.15</v>
      </c>
      <c r="F338" s="1079"/>
    </row>
    <row r="339" spans="1:6" ht="14.25" thickBot="1">
      <c r="A339" s="837" t="s">
        <v>1021</v>
      </c>
      <c r="B339" s="831" t="s">
        <v>1023</v>
      </c>
      <c r="C339" s="1064">
        <v>0.15</v>
      </c>
      <c r="D339" s="1064">
        <v>0.15</v>
      </c>
      <c r="E339" s="1064">
        <v>0.15</v>
      </c>
      <c r="F339" s="1076"/>
    </row>
    <row r="340" spans="1:6" ht="14.25" thickBot="1">
      <c r="A340" s="837" t="s">
        <v>1021</v>
      </c>
      <c r="B340" s="831" t="s">
        <v>1024</v>
      </c>
      <c r="C340" s="1064">
        <v>0.15</v>
      </c>
      <c r="D340" s="1064">
        <v>0.15</v>
      </c>
      <c r="E340" s="1064">
        <v>0.15</v>
      </c>
      <c r="F340" s="1076"/>
    </row>
    <row r="341" spans="1:6" ht="14.25" thickBot="1">
      <c r="A341" s="837" t="s">
        <v>1021</v>
      </c>
      <c r="B341" s="831" t="s">
        <v>1025</v>
      </c>
      <c r="C341" s="1064">
        <v>0.15</v>
      </c>
      <c r="D341" s="1064">
        <v>0.15</v>
      </c>
      <c r="E341" s="1064">
        <v>0.15</v>
      </c>
      <c r="F341" s="1065">
        <v>0.15</v>
      </c>
    </row>
    <row r="342" spans="1:6" ht="14.25" thickBot="1">
      <c r="A342" s="837" t="s">
        <v>1021</v>
      </c>
      <c r="B342" s="831" t="s">
        <v>1026</v>
      </c>
      <c r="C342" s="1064">
        <v>0.15</v>
      </c>
      <c r="D342" s="1064">
        <v>0.15</v>
      </c>
      <c r="E342" s="1064">
        <v>0.15</v>
      </c>
      <c r="F342" s="1065">
        <v>0.15</v>
      </c>
    </row>
    <row r="343" spans="1:6" ht="14.25" thickBot="1">
      <c r="A343" s="837" t="s">
        <v>1021</v>
      </c>
      <c r="B343" s="831" t="s">
        <v>1027</v>
      </c>
      <c r="C343" s="1064">
        <v>0.15</v>
      </c>
      <c r="D343" s="1064">
        <v>0.15</v>
      </c>
      <c r="E343" s="1064">
        <v>0.15</v>
      </c>
      <c r="F343" s="1065">
        <v>0.15</v>
      </c>
    </row>
    <row r="344" spans="1:6" ht="14.25" thickBot="1">
      <c r="A344" s="847" t="s">
        <v>1021</v>
      </c>
      <c r="B344" s="843" t="s">
        <v>1028</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1300</v>
      </c>
      <c r="C1" s="1694">
        <f>项目基本情况!D3</f>
        <v>43111</v>
      </c>
      <c r="D1" s="1700" t="s">
        <v>1301</v>
      </c>
      <c r="E1" s="1695">
        <f>'数据-取费表'!B22</f>
        <v>3</v>
      </c>
      <c r="F1" s="1700" t="s">
        <v>1302</v>
      </c>
      <c r="G1" s="1696">
        <f ca="1">INDIRECT("d"&amp;$K$1)/100</f>
        <v>4.7500000000000001E-2</v>
      </c>
      <c r="H1" s="1700" t="s">
        <v>1332</v>
      </c>
      <c r="I1" s="1696">
        <f ca="1">F4/100</f>
        <v>1.4999999999999999E-2</v>
      </c>
      <c r="J1" s="1701">
        <f>IF(C1&gt;C13,0,MATCH(C1,C$13:C$100,-1))+IF(SUMIF(C13:C100,C1,D13:D100)=0,13,12)</f>
        <v>13</v>
      </c>
      <c r="K1" s="1701">
        <f ca="1">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1303</v>
      </c>
      <c r="E2" s="1636"/>
      <c r="F2" s="1636" t="s">
        <v>1304</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1305</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1306</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1307</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1308</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1309</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1310</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1311</v>
      </c>
      <c r="C10" s="1664"/>
      <c r="D10" s="1664"/>
      <c r="E10" s="1664"/>
      <c r="F10" s="1664"/>
      <c r="G10" s="1664"/>
      <c r="H10" s="1664"/>
      <c r="I10" s="1638"/>
      <c r="J10" s="1638"/>
      <c r="K10" s="1664"/>
      <c r="L10" s="1665" t="s">
        <v>1312</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1313</v>
      </c>
      <c r="C11" s="1669" t="s">
        <v>1314</v>
      </c>
      <c r="D11" s="1670" t="s">
        <v>1315</v>
      </c>
      <c r="E11" s="1671"/>
      <c r="F11" s="1670" t="s">
        <v>1316</v>
      </c>
      <c r="G11" s="1672"/>
      <c r="H11" s="1671"/>
      <c r="I11" s="1670" t="s">
        <v>1317</v>
      </c>
      <c r="J11" s="1671"/>
      <c r="K11" s="1667"/>
      <c r="L11" s="1668" t="s">
        <v>1313</v>
      </c>
      <c r="M11" s="1669" t="s">
        <v>1314</v>
      </c>
      <c r="N11" s="1668" t="s">
        <v>1318</v>
      </c>
      <c r="O11" s="1670" t="s">
        <v>1319</v>
      </c>
      <c r="P11" s="1672"/>
      <c r="Q11" s="1672"/>
      <c r="R11" s="1672"/>
      <c r="S11" s="1672"/>
      <c r="T11" s="1671"/>
      <c r="U11" s="1670" t="s">
        <v>1320</v>
      </c>
      <c r="V11" s="1672"/>
      <c r="W11" s="1671"/>
      <c r="X11" s="1668" t="s">
        <v>1321</v>
      </c>
      <c r="Y11" s="1668" t="s">
        <v>1322</v>
      </c>
      <c r="Z11" s="1668" t="s">
        <v>1323</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1324</v>
      </c>
      <c r="E12" s="1677" t="s">
        <v>1325</v>
      </c>
      <c r="F12" s="1677" t="s">
        <v>1326</v>
      </c>
      <c r="G12" s="1677" t="s">
        <v>1327</v>
      </c>
      <c r="H12" s="1677" t="s">
        <v>1309</v>
      </c>
      <c r="I12" s="1678" t="s">
        <v>1328</v>
      </c>
      <c r="J12" s="1678" t="s">
        <v>1328</v>
      </c>
      <c r="K12" s="1674"/>
      <c r="L12" s="1675"/>
      <c r="M12" s="1676"/>
      <c r="N12" s="1675"/>
      <c r="O12" s="1678" t="s">
        <v>1329</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1330</v>
      </c>
      <c r="C13" s="1682">
        <v>42301</v>
      </c>
      <c r="D13" s="1683">
        <v>4.3499999999999996</v>
      </c>
      <c r="E13" s="1683">
        <v>4.3499999999999996</v>
      </c>
      <c r="F13" s="1683">
        <v>4.75</v>
      </c>
      <c r="G13" s="1683">
        <v>4.75</v>
      </c>
      <c r="H13" s="1683">
        <v>4.9000000000000004</v>
      </c>
      <c r="I13" s="1683">
        <v>2.75</v>
      </c>
      <c r="J13" s="1683">
        <v>3.25</v>
      </c>
      <c r="K13" s="1680"/>
      <c r="L13" s="1681" t="s">
        <v>1330</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1331</v>
      </c>
      <c r="Y42" s="1687" t="s">
        <v>1331</v>
      </c>
      <c r="Z42" s="1687" t="s">
        <v>1331</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1331</v>
      </c>
      <c r="Y43" s="1687" t="s">
        <v>1331</v>
      </c>
      <c r="Z43" s="1687" t="s">
        <v>1331</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1331</v>
      </c>
      <c r="Y44" s="1687" t="s">
        <v>1331</v>
      </c>
      <c r="Z44" s="1687" t="s">
        <v>1331</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1331</v>
      </c>
      <c r="Y45" s="1687" t="s">
        <v>1331</v>
      </c>
      <c r="Z45" s="1687" t="s">
        <v>1331</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1331</v>
      </c>
      <c r="Y46" s="1687" t="s">
        <v>1331</v>
      </c>
      <c r="Z46" s="1687" t="s">
        <v>1331</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1331</v>
      </c>
      <c r="Y47" s="1687" t="s">
        <v>1331</v>
      </c>
      <c r="Z47" s="1687" t="s">
        <v>1331</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1331</v>
      </c>
      <c r="Y48" s="1687" t="s">
        <v>1331</v>
      </c>
      <c r="Z48" s="1687" t="s">
        <v>1331</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1331</v>
      </c>
      <c r="Y49" s="1687" t="s">
        <v>1331</v>
      </c>
      <c r="Z49" s="1687" t="s">
        <v>1331</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1331</v>
      </c>
      <c r="Y50" s="1687" t="s">
        <v>1331</v>
      </c>
      <c r="Z50" s="1687" t="s">
        <v>1331</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1331</v>
      </c>
      <c r="V51" s="1687" t="s">
        <v>1331</v>
      </c>
      <c r="W51" s="1687" t="s">
        <v>1331</v>
      </c>
      <c r="X51" s="1687" t="s">
        <v>1331</v>
      </c>
      <c r="Y51" s="1687" t="s">
        <v>1331</v>
      </c>
      <c r="Z51" s="1687" t="s">
        <v>1331</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1331</v>
      </c>
      <c r="J55" s="1687" t="s">
        <v>1331</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1372</v>
      </c>
      <c r="E1" s="1776" t="s">
        <v>1376</v>
      </c>
      <c r="F1" s="1777" t="s">
        <v>1380</v>
      </c>
    </row>
    <row r="2" spans="1:13" ht="20.25">
      <c r="A2" s="1783" t="s">
        <v>1373</v>
      </c>
    </row>
    <row r="3" spans="1:13" ht="16.5">
      <c r="A3" s="1784" t="s">
        <v>1374</v>
      </c>
    </row>
    <row r="4" spans="1:13" ht="14.25">
      <c r="A4" s="1774" t="s">
        <v>1375</v>
      </c>
      <c r="B4" s="1779" t="s">
        <v>1377</v>
      </c>
      <c r="C4" s="1780"/>
      <c r="D4" s="1781"/>
      <c r="E4" s="1779" t="s">
        <v>27</v>
      </c>
      <c r="F4" s="1780"/>
      <c r="G4" s="1781"/>
      <c r="H4" s="1779" t="s">
        <v>1378</v>
      </c>
      <c r="I4" s="1780"/>
      <c r="J4" s="1781"/>
      <c r="K4" s="1779" t="s">
        <v>6</v>
      </c>
      <c r="L4" s="1780"/>
      <c r="M4" s="1781"/>
    </row>
    <row r="5" spans="1:13" ht="14.25">
      <c r="A5" s="1775" t="s">
        <v>1379</v>
      </c>
      <c r="B5" s="1774" t="s">
        <v>1381</v>
      </c>
      <c r="C5" s="1774" t="s">
        <v>1382</v>
      </c>
      <c r="D5" s="1774" t="s">
        <v>1383</v>
      </c>
      <c r="E5" s="1774" t="s">
        <v>1381</v>
      </c>
      <c r="F5" s="1774" t="s">
        <v>1382</v>
      </c>
      <c r="G5" s="1774" t="s">
        <v>1383</v>
      </c>
      <c r="H5" s="1774" t="s">
        <v>1381</v>
      </c>
      <c r="I5" s="1774" t="s">
        <v>1382</v>
      </c>
      <c r="J5" s="1774" t="s">
        <v>1383</v>
      </c>
      <c r="K5" s="1774" t="s">
        <v>1381</v>
      </c>
      <c r="L5" s="1774" t="s">
        <v>1382</v>
      </c>
      <c r="M5" s="1774" t="s">
        <v>1383</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J56" sqref="J5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1590</v>
      </c>
      <c r="B1" s="782"/>
      <c r="C1" s="1837" t="s">
        <v>48</v>
      </c>
      <c r="D1" s="1820" t="s">
        <v>3168</v>
      </c>
      <c r="E1" s="1821" t="s">
        <v>1387</v>
      </c>
      <c r="F1" s="1283">
        <f ca="1">J53</f>
        <v>46.85</v>
      </c>
      <c r="G1" s="1836">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1516</v>
      </c>
      <c r="B2" s="1844">
        <f ca="1">C40+J29+L46</f>
        <v>9689</v>
      </c>
      <c r="C2" s="1845" t="s">
        <v>1517</v>
      </c>
      <c r="D2" s="1845"/>
      <c r="E2" s="1846"/>
      <c r="F2" s="1847"/>
      <c r="G2" s="1848"/>
      <c r="H2" s="1840"/>
      <c r="I2" s="1840"/>
      <c r="J2" s="1840"/>
      <c r="K2" s="1841"/>
      <c r="L2" s="1840"/>
      <c r="M2" s="1840"/>
    </row>
    <row r="3" spans="1:37" ht="18" customHeight="1" thickBot="1">
      <c r="A3" s="1849" t="s">
        <v>1518</v>
      </c>
      <c r="B3" s="1850">
        <f ca="1">IF(ISERROR(B2*10000/F43),0,ROUND(B2*10000/F43,0))</f>
        <v>9491</v>
      </c>
      <c r="C3" s="1845" t="s">
        <v>1519</v>
      </c>
      <c r="D3" s="1845"/>
      <c r="E3" s="1846"/>
      <c r="F3" s="1847"/>
      <c r="G3" s="1848"/>
      <c r="H3" s="744" t="s">
        <v>1589</v>
      </c>
      <c r="I3" s="1840"/>
      <c r="J3" s="1840"/>
      <c r="K3" s="1841"/>
      <c r="L3" s="1840"/>
      <c r="M3" s="1840"/>
    </row>
    <row r="4" spans="1:37" ht="18" customHeight="1">
      <c r="A4" s="340" t="s">
        <v>1396</v>
      </c>
      <c r="B4" s="341" t="s">
        <v>1397</v>
      </c>
      <c r="C4" s="341" t="s">
        <v>1398</v>
      </c>
      <c r="D4" s="341" t="s">
        <v>1399</v>
      </c>
      <c r="E4" s="342" t="s">
        <v>1400</v>
      </c>
      <c r="F4" s="343"/>
      <c r="G4" s="1851"/>
      <c r="H4" s="340" t="s">
        <v>1396</v>
      </c>
      <c r="I4" s="341" t="s">
        <v>1397</v>
      </c>
      <c r="J4" s="341" t="s">
        <v>1398</v>
      </c>
      <c r="K4" s="341" t="s">
        <v>1399</v>
      </c>
      <c r="L4" s="342" t="s">
        <v>1400</v>
      </c>
      <c r="M4" s="343"/>
    </row>
    <row r="5" spans="1:37" ht="18" customHeight="1">
      <c r="A5" s="344">
        <v>1</v>
      </c>
      <c r="B5" s="345" t="s">
        <v>1401</v>
      </c>
      <c r="C5" s="1292">
        <f ca="1">C6+C10+C12</f>
        <v>469</v>
      </c>
      <c r="D5" s="1822" t="s">
        <v>1402</v>
      </c>
      <c r="E5" s="1293"/>
      <c r="F5" s="1294"/>
      <c r="G5" s="1851"/>
      <c r="H5" s="344">
        <v>1</v>
      </c>
      <c r="I5" s="345" t="s">
        <v>1401</v>
      </c>
      <c r="J5" s="1292">
        <f ca="1">J6+J10+J12</f>
        <v>0</v>
      </c>
      <c r="K5" s="1822" t="s">
        <v>1402</v>
      </c>
      <c r="L5" s="1293"/>
      <c r="M5" s="1294"/>
    </row>
    <row r="6" spans="1:37" ht="18" customHeight="1">
      <c r="A6" s="1291" t="s">
        <v>1035</v>
      </c>
      <c r="B6" s="3398" t="s">
        <v>1403</v>
      </c>
      <c r="C6" s="1296">
        <f ca="1">ROUND(F6*F8*F7*(1-F9)/10000,0)</f>
        <v>469</v>
      </c>
      <c r="D6" s="164" t="s">
        <v>3028</v>
      </c>
      <c r="E6" s="347" t="s">
        <v>1405</v>
      </c>
      <c r="F6" s="348">
        <f ca="1">INDIRECT("'数据-取费表'!u"&amp;$G$1)</f>
        <v>1.4</v>
      </c>
      <c r="G6" s="1851"/>
      <c r="H6" s="1291" t="s">
        <v>1035</v>
      </c>
      <c r="I6" s="3398" t="s">
        <v>1403</v>
      </c>
      <c r="J6" s="346">
        <f ca="1">ROUND(M6*M8*M7*(1-M9)/10000,0)</f>
        <v>0</v>
      </c>
      <c r="K6" s="164" t="s">
        <v>3027</v>
      </c>
      <c r="L6" s="347" t="s">
        <v>1405</v>
      </c>
      <c r="M6" s="348">
        <f ca="1">INDIRECT("'数据-取费表'!z"&amp;$G$1)</f>
        <v>0</v>
      </c>
    </row>
    <row r="7" spans="1:37" ht="18" customHeight="1">
      <c r="A7" s="1295"/>
      <c r="B7" s="3399"/>
      <c r="C7" s="1297"/>
      <c r="D7" s="352"/>
      <c r="E7" s="2927" t="s">
        <v>1406</v>
      </c>
      <c r="F7" s="348">
        <f ca="1">IF(INDIRECT("'数据-取费表'!ah"&amp;$G$1)="",INDIRECT("'数据-取费表'!k"&amp;$G$1),INDIRECT("'数据-取费表'!ah"&amp;$G$1))</f>
        <v>10208.15</v>
      </c>
      <c r="G7" s="1851"/>
      <c r="H7" s="349"/>
      <c r="I7" s="3399"/>
      <c r="J7" s="351"/>
      <c r="K7" s="352"/>
      <c r="L7" s="347" t="s">
        <v>1406</v>
      </c>
      <c r="M7" s="348">
        <f ca="1">F7</f>
        <v>10208.15</v>
      </c>
    </row>
    <row r="8" spans="1:37" ht="18" customHeight="1">
      <c r="A8" s="349"/>
      <c r="B8" s="3399"/>
      <c r="C8" s="351"/>
      <c r="D8" s="352"/>
      <c r="E8" s="347" t="s">
        <v>1407</v>
      </c>
      <c r="F8" s="348">
        <f ca="1">INDIRECT("'数据-取费表'!ai"&amp;$G$1)</f>
        <v>365</v>
      </c>
      <c r="G8" s="1851"/>
      <c r="H8" s="349"/>
      <c r="I8" s="3399"/>
      <c r="J8" s="351"/>
      <c r="K8" s="352"/>
      <c r="L8" s="347" t="s">
        <v>1407</v>
      </c>
      <c r="M8" s="348">
        <f ca="1">INDIRECT("'数据-取费表'!ai"&amp;$G$1)</f>
        <v>365</v>
      </c>
    </row>
    <row r="9" spans="1:37" ht="18" customHeight="1">
      <c r="A9" s="349"/>
      <c r="B9" s="3400"/>
      <c r="C9" s="351"/>
      <c r="D9" s="352"/>
      <c r="E9" s="347" t="s">
        <v>1408</v>
      </c>
      <c r="F9" s="357">
        <f ca="1">INDIRECT("'数据-取费表'!w"&amp;$G$1)</f>
        <v>0.1</v>
      </c>
      <c r="G9" s="1851"/>
      <c r="H9" s="349"/>
      <c r="I9" s="3400"/>
      <c r="J9" s="351"/>
      <c r="K9" s="352"/>
      <c r="L9" s="358" t="s">
        <v>1408</v>
      </c>
      <c r="M9" s="359">
        <f ca="1">INDIRECT("'数据-取费表'!ab"&amp;$G$1)</f>
        <v>0</v>
      </c>
    </row>
    <row r="10" spans="1:37" ht="18" customHeight="1">
      <c r="A10" s="1291" t="s">
        <v>1039</v>
      </c>
      <c r="B10" s="1823" t="s">
        <v>1409</v>
      </c>
      <c r="C10" s="361">
        <f ca="1">ROUND(IF(F10="押一",F6*F8*F7/12*F11,IF(F10="押二",F6*F8*F7/12*2*F11,IF(F10="押三",F6*F8*F7/12*3*F11,C11*F11)))/10000,0)</f>
        <v>0</v>
      </c>
      <c r="D10" s="1824" t="s">
        <v>3029</v>
      </c>
      <c r="E10" s="358" t="s">
        <v>1411</v>
      </c>
      <c r="F10" s="1366"/>
      <c r="G10" s="1851"/>
      <c r="H10" s="1291" t="s">
        <v>1039</v>
      </c>
      <c r="I10" s="1823" t="s">
        <v>1409</v>
      </c>
      <c r="J10" s="346">
        <f ca="1">ROUND(IF(M10="押一",M6*M8*M7/12*M11,IF(M10="押二",M6*M8*M7/12*2*M11,IF(M10="押三",M6*M8*M7/12*3*M11,J11*M11)))/10000,0)</f>
        <v>0</v>
      </c>
      <c r="K10" s="1824" t="s">
        <v>3030</v>
      </c>
      <c r="L10" s="358" t="s">
        <v>1411</v>
      </c>
      <c r="M10" s="1366" t="s">
        <v>1412</v>
      </c>
    </row>
    <row r="11" spans="1:37" ht="18" customHeight="1">
      <c r="A11" s="353"/>
      <c r="B11" s="1825" t="s">
        <v>1388</v>
      </c>
      <c r="C11" s="1178"/>
      <c r="D11" s="1826"/>
      <c r="E11" s="358" t="s">
        <v>1413</v>
      </c>
      <c r="F11" s="359">
        <f ca="1">'数据-取费表'!B39</f>
        <v>1.4999999999999999E-2</v>
      </c>
      <c r="G11" s="1851"/>
      <c r="H11" s="1299"/>
      <c r="I11" s="1825" t="s">
        <v>1388</v>
      </c>
      <c r="J11" s="1178"/>
      <c r="K11" s="748"/>
      <c r="L11" s="358" t="s">
        <v>1413</v>
      </c>
      <c r="M11" s="1056">
        <f ca="1">'数据-取费表'!B39</f>
        <v>1.4999999999999999E-2</v>
      </c>
    </row>
    <row r="12" spans="1:37" ht="18" customHeight="1" thickBot="1">
      <c r="A12" s="1333" t="s">
        <v>1075</v>
      </c>
      <c r="B12" s="1827" t="s">
        <v>1414</v>
      </c>
      <c r="C12" s="1334"/>
      <c r="D12" s="1335"/>
      <c r="E12" s="1340"/>
      <c r="F12" s="1336"/>
      <c r="G12" s="1851"/>
      <c r="H12" s="1333" t="s">
        <v>1075</v>
      </c>
      <c r="I12" s="1827" t="s">
        <v>1414</v>
      </c>
      <c r="J12" s="1334"/>
      <c r="K12" s="1348"/>
      <c r="L12" s="1340"/>
      <c r="M12" s="1349"/>
    </row>
    <row r="13" spans="1:37" ht="18" customHeight="1" thickTop="1">
      <c r="A13" s="1329">
        <v>2</v>
      </c>
      <c r="B13" s="1330" t="s">
        <v>1415</v>
      </c>
      <c r="C13" s="355">
        <f ca="1">ROUND(C29*F13,0)</f>
        <v>0</v>
      </c>
      <c r="D13" s="1331" t="s">
        <v>1416</v>
      </c>
      <c r="E13" s="1331" t="s">
        <v>1417</v>
      </c>
      <c r="F13" s="1332">
        <f ca="1">INDIRECT("'数据-取费表'!y"&amp;$G$1)</f>
        <v>0</v>
      </c>
      <c r="G13" s="1851"/>
      <c r="H13" s="1329">
        <v>2</v>
      </c>
      <c r="I13" s="1330" t="s">
        <v>1415</v>
      </c>
      <c r="J13" s="1290">
        <f ca="1">ROUND(J14*J15,0)</f>
        <v>0</v>
      </c>
      <c r="K13" s="1337" t="s">
        <v>1416</v>
      </c>
      <c r="L13" s="1852"/>
      <c r="M13" s="1853"/>
    </row>
    <row r="14" spans="1:37" ht="18" customHeight="1">
      <c r="A14" s="1201" t="s">
        <v>1034</v>
      </c>
      <c r="B14" s="347" t="s">
        <v>1418</v>
      </c>
      <c r="C14" s="363">
        <f ca="1">INDIRECT("'数据-取费表'!m"&amp;$G$1)+INDIRECT("'数据-取费表'!t"&amp;$G$1)</f>
        <v>2294</v>
      </c>
      <c r="D14" s="2930" t="s">
        <v>1419</v>
      </c>
      <c r="E14" s="2929"/>
      <c r="F14" s="364"/>
      <c r="G14" s="1851"/>
      <c r="H14" s="1201" t="s">
        <v>1035</v>
      </c>
      <c r="I14" s="347" t="s">
        <v>1420</v>
      </c>
      <c r="J14" s="24">
        <f ca="1">C29</f>
        <v>3372</v>
      </c>
      <c r="K14" s="2926"/>
      <c r="L14" s="979"/>
      <c r="M14" s="980"/>
    </row>
    <row r="15" spans="1:37" s="1858" customFormat="1" ht="18" customHeight="1" thickBot="1">
      <c r="A15" s="1201" t="s">
        <v>1036</v>
      </c>
      <c r="B15" s="347" t="s">
        <v>1421</v>
      </c>
      <c r="C15" s="24">
        <f ca="1">ROUND(C14*F15,0)</f>
        <v>69</v>
      </c>
      <c r="D15" s="365" t="s">
        <v>1422</v>
      </c>
      <c r="E15" s="365" t="s">
        <v>1423</v>
      </c>
      <c r="F15" s="366">
        <f>'数据-取费表'!B33</f>
        <v>0.03</v>
      </c>
      <c r="G15" s="1854"/>
      <c r="H15" s="1339" t="s">
        <v>1039</v>
      </c>
      <c r="I15" s="1340" t="s">
        <v>1417</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1389</v>
      </c>
      <c r="B16" s="347" t="s">
        <v>1424</v>
      </c>
      <c r="C16" s="24">
        <f ca="1">ROUND(INDIRECT("'数据-取费表'!m"&amp;$G$1)*F16,0)</f>
        <v>0</v>
      </c>
      <c r="D16" s="347" t="s">
        <v>1422</v>
      </c>
      <c r="E16" s="347" t="s">
        <v>1423</v>
      </c>
      <c r="F16" s="367">
        <f ca="1">IF(INDIRECT("'数据-取费表'!c"&amp;$G$1)="住宅",'数据-取费表'!B34,0)</f>
        <v>0</v>
      </c>
      <c r="G16" s="1851"/>
      <c r="H16" s="1329" t="s">
        <v>1030</v>
      </c>
      <c r="I16" s="1330" t="s">
        <v>1425</v>
      </c>
      <c r="J16" s="355">
        <f ca="1">ROUND(J17+J22+J23+J24,0)</f>
        <v>79</v>
      </c>
      <c r="K16" s="1337" t="s">
        <v>1426</v>
      </c>
      <c r="L16" s="2933"/>
      <c r="M16" s="1294"/>
    </row>
    <row r="17" spans="1:37" s="1858" customFormat="1" ht="18" customHeight="1">
      <c r="A17" s="1201" t="s">
        <v>1390</v>
      </c>
      <c r="B17" s="347" t="s">
        <v>1427</v>
      </c>
      <c r="C17" s="24">
        <f ca="1">ROUND(F17*(F43+INDIRECT("'数据-取费表'!S"&amp;$G$1))/10000,0)</f>
        <v>209</v>
      </c>
      <c r="D17" s="347" t="s">
        <v>1428</v>
      </c>
      <c r="E17" s="347" t="s">
        <v>1429</v>
      </c>
      <c r="F17" s="26">
        <f>'数据-取费表'!B35</f>
        <v>200</v>
      </c>
      <c r="G17" s="1854"/>
      <c r="H17" s="1201" t="s">
        <v>1035</v>
      </c>
      <c r="I17" s="347" t="s">
        <v>1430</v>
      </c>
      <c r="J17" s="24">
        <f ca="1">ROUND(IF(项目基本情况!B11="自然人",J5*M17,J18+J19+J20),1)</f>
        <v>28.7</v>
      </c>
      <c r="K17" s="2930" t="s">
        <v>1431</v>
      </c>
      <c r="L17" s="2932" t="s">
        <v>1432</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1391</v>
      </c>
      <c r="B18" s="347" t="s">
        <v>1433</v>
      </c>
      <c r="C18" s="24">
        <f ca="1">ROUND(C14*F18,0)</f>
        <v>34</v>
      </c>
      <c r="D18" s="347" t="s">
        <v>1422</v>
      </c>
      <c r="E18" s="347" t="s">
        <v>1423</v>
      </c>
      <c r="F18" s="367">
        <f>'数据-取费表'!B36</f>
        <v>1.4999999999999999E-2</v>
      </c>
      <c r="G18" s="1854"/>
      <c r="H18" s="1201" t="s">
        <v>1034</v>
      </c>
      <c r="I18" s="347" t="s">
        <v>1434</v>
      </c>
      <c r="J18" s="24">
        <f ca="1">ROUND(J5*M18/(1+'数据-取费表'!C42),2)</f>
        <v>0</v>
      </c>
      <c r="K18" s="2932" t="s">
        <v>1435</v>
      </c>
      <c r="L18" s="347" t="s">
        <v>1423</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1035</v>
      </c>
      <c r="B19" s="347" t="s">
        <v>1436</v>
      </c>
      <c r="C19" s="24">
        <f ca="1">SUM(C14:C18)</f>
        <v>2606</v>
      </c>
      <c r="D19" s="140" t="s">
        <v>1437</v>
      </c>
      <c r="E19" s="2925"/>
      <c r="F19" s="26"/>
      <c r="G19" s="1851"/>
      <c r="H19" s="1201" t="s">
        <v>1036</v>
      </c>
      <c r="I19" s="347" t="s">
        <v>1438</v>
      </c>
      <c r="J19" s="24">
        <f ca="1">IF(K19="按租金收入计税",ROUND(J5*M19,2),ROUND(C29*M19*0.7,2))</f>
        <v>28.32</v>
      </c>
      <c r="K19" s="1828" t="s">
        <v>1439</v>
      </c>
      <c r="L19" s="347" t="s">
        <v>1423</v>
      </c>
      <c r="M19" s="367">
        <f>IF(K19="按租金收入计税",'数据-取费表'!B51,'数据-取费表'!B50)</f>
        <v>1.2E-2</v>
      </c>
    </row>
    <row r="20" spans="1:37" s="1858" customFormat="1" ht="18" customHeight="1">
      <c r="A20" s="1201" t="s">
        <v>1039</v>
      </c>
      <c r="B20" s="347" t="s">
        <v>1440</v>
      </c>
      <c r="C20" s="24">
        <f ca="1">ROUND(C19*F20,0)</f>
        <v>52</v>
      </c>
      <c r="D20" s="369" t="s">
        <v>1441</v>
      </c>
      <c r="E20" s="347" t="s">
        <v>1423</v>
      </c>
      <c r="F20" s="367">
        <f>'数据-取费表'!B37</f>
        <v>0.02</v>
      </c>
      <c r="G20" s="1854"/>
      <c r="H20" s="1201" t="s">
        <v>1389</v>
      </c>
      <c r="I20" s="164" t="s">
        <v>1442</v>
      </c>
      <c r="J20" s="25">
        <f ca="1">ROUND(M20*M21/10000,2)</f>
        <v>0.42</v>
      </c>
      <c r="K20" s="370" t="s">
        <v>1443</v>
      </c>
      <c r="L20" s="347" t="s">
        <v>1444</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1075</v>
      </c>
      <c r="B21" s="347" t="s">
        <v>1445</v>
      </c>
      <c r="C21" s="24" t="s">
        <v>18</v>
      </c>
      <c r="D21" s="369" t="s">
        <v>1446</v>
      </c>
      <c r="E21" s="347" t="s">
        <v>1447</v>
      </c>
      <c r="F21" s="367">
        <f>'数据-取费表'!B38</f>
        <v>0.02</v>
      </c>
      <c r="G21" s="1854"/>
      <c r="H21" s="372"/>
      <c r="I21" s="356"/>
      <c r="J21" s="29"/>
      <c r="K21" s="373"/>
      <c r="L21" s="347" t="s">
        <v>1448</v>
      </c>
      <c r="M21" s="348">
        <f ca="1">INDIRECT("'数据-取费表'!r"&amp;$G$1)</f>
        <v>2778.96</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1392</v>
      </c>
      <c r="B22" s="347" t="s">
        <v>1449</v>
      </c>
      <c r="C22" s="24"/>
      <c r="D22" s="140" t="str">
        <f>IF(F23&lt;=1,"单利计息。","复利计息。")&amp;"建造成本、管理费用、销售费用产生的利息。"</f>
        <v>复利计息。建造成本、管理费用、销售费用产生的利息。</v>
      </c>
      <c r="E22" s="2925"/>
      <c r="F22" s="26"/>
      <c r="G22" s="1851"/>
      <c r="H22" s="1201" t="s">
        <v>1039</v>
      </c>
      <c r="I22" s="347" t="s">
        <v>1450</v>
      </c>
      <c r="J22" s="24">
        <f ca="1">ROUND(J14*M22,1)</f>
        <v>50.6</v>
      </c>
      <c r="K22" s="2932" t="s">
        <v>1451</v>
      </c>
      <c r="L22" s="347" t="s">
        <v>1423</v>
      </c>
      <c r="M22" s="374">
        <f ca="1">INDIRECT("'数据-取费表'!Ak"&amp;$G$1)</f>
        <v>1.4999999999999999E-2</v>
      </c>
    </row>
    <row r="23" spans="1:37" s="1858" customFormat="1" ht="18" customHeight="1">
      <c r="A23" s="1201" t="s">
        <v>1034</v>
      </c>
      <c r="B23" s="347" t="s">
        <v>1452</v>
      </c>
      <c r="C23" s="24">
        <f ca="1">IF('数据-取费表'!B22&lt;=1,ROUND(C19*F24*F23/2,0)+ROUND(C20*F24*F23/2,0),ROUND(C19*(POWER((1+F24),F23/2)-1),0)+ROUND(C20*(POWER((1+F24),F23/2)-1),0))</f>
        <v>192</v>
      </c>
      <c r="D23" s="375" t="str">
        <f>IF(F23&lt;=1,"(建造成本+管理费用)×利率×(建设周期÷2)","(建造成本+管理费用)×((1+利率)^(建设周期÷2)-1)")</f>
        <v>(建造成本+管理费用)×((1+利率)^(建设周期÷2)-1)</v>
      </c>
      <c r="E23" s="347" t="s">
        <v>1453</v>
      </c>
      <c r="F23" s="371">
        <f>'数据-取费表'!B20</f>
        <v>3</v>
      </c>
      <c r="G23" s="1854"/>
      <c r="H23" s="1201" t="s">
        <v>1075</v>
      </c>
      <c r="I23" s="347" t="s">
        <v>1454</v>
      </c>
      <c r="J23" s="24">
        <f ca="1">ROUND(J13*M23,1)</f>
        <v>0</v>
      </c>
      <c r="K23" s="2932" t="s">
        <v>1455</v>
      </c>
      <c r="L23" s="347" t="s">
        <v>1456</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1457</v>
      </c>
      <c r="B24" s="347" t="s">
        <v>1458</v>
      </c>
      <c r="C24" s="24">
        <f ca="1">ROUND(IF('数据-取费表'!B22&lt;=1,F21*F24*F23/2,F21*(POWER((1+F24),F23/2)-1)),4)</f>
        <v>1.4E-3</v>
      </c>
      <c r="D24" s="375" t="str">
        <f>IF(F23&lt;=1,"销售费用×利率×(建设周期÷2)","销售费用×((1+利率)^(建设周期÷2)-1)")</f>
        <v>销售费用×((1+利率)^(建设周期÷2)-1)</v>
      </c>
      <c r="E24" s="347" t="s">
        <v>1459</v>
      </c>
      <c r="F24" s="377">
        <f ca="1">'数据-取费表'!B40</f>
        <v>4.7500000000000001E-2</v>
      </c>
      <c r="G24" s="1854"/>
      <c r="H24" s="1339" t="s">
        <v>1393</v>
      </c>
      <c r="I24" s="1340" t="s">
        <v>1440</v>
      </c>
      <c r="J24" s="1341">
        <f ca="1">ROUND(J5*M24,1)</f>
        <v>0</v>
      </c>
      <c r="K24" s="1342" t="s">
        <v>1460</v>
      </c>
      <c r="L24" s="1340" t="s">
        <v>1456</v>
      </c>
      <c r="M24" s="1336">
        <f ca="1">INDIRECT("'数据-取费表'!Am"&amp;$G$1)</f>
        <v>1.4999999999999999E-2</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1461</v>
      </c>
      <c r="B25" s="347" t="s">
        <v>1462</v>
      </c>
      <c r="C25" s="24"/>
      <c r="D25" s="140" t="s">
        <v>1463</v>
      </c>
      <c r="E25" s="2925"/>
      <c r="F25" s="26"/>
      <c r="G25" s="1851"/>
      <c r="H25" s="1329" t="s">
        <v>1031</v>
      </c>
      <c r="I25" s="1344" t="s">
        <v>1464</v>
      </c>
      <c r="J25" s="355">
        <f ca="1">J5-J16</f>
        <v>-79</v>
      </c>
      <c r="K25" s="1345" t="s">
        <v>1465</v>
      </c>
      <c r="L25" s="1346"/>
      <c r="M25" s="1347"/>
    </row>
    <row r="26" spans="1:37">
      <c r="A26" s="1201" t="s">
        <v>1034</v>
      </c>
      <c r="B26" s="347" t="s">
        <v>1466</v>
      </c>
      <c r="C26" s="24">
        <f ca="1">ROUND((C19+C20)*F26,0)</f>
        <v>266</v>
      </c>
      <c r="D26" s="369" t="s">
        <v>1467</v>
      </c>
      <c r="E26" s="358" t="s">
        <v>1468</v>
      </c>
      <c r="F26" s="357">
        <f ca="1">INDIRECT("'数据-取费表'!q"&amp;$G$1)</f>
        <v>0.1</v>
      </c>
      <c r="G26" s="1851"/>
      <c r="H26" s="344" t="s">
        <v>1032</v>
      </c>
      <c r="I26" s="345" t="s">
        <v>1469</v>
      </c>
      <c r="J26" s="346">
        <f ca="1">IF(J5&lt;&gt;0,ROUND(J25*(1-((1+M28)/(1+M26))^M27)/(M26-M28),0),0)</f>
        <v>0</v>
      </c>
      <c r="K26" s="370" t="s">
        <v>1470</v>
      </c>
      <c r="L26" s="347" t="s">
        <v>1471</v>
      </c>
      <c r="M26" s="357">
        <f ca="1">INDIRECT("'数据-取费表'!I"&amp;$G$1)</f>
        <v>0.05</v>
      </c>
    </row>
    <row r="27" spans="1:37" ht="18" customHeight="1">
      <c r="A27" s="1201" t="s">
        <v>1036</v>
      </c>
      <c r="B27" s="347" t="s">
        <v>1472</v>
      </c>
      <c r="C27" s="24">
        <f ca="1">ROUND(F21*F26,4)</f>
        <v>2E-3</v>
      </c>
      <c r="D27" s="369" t="s">
        <v>1473</v>
      </c>
      <c r="E27" s="365"/>
      <c r="F27" s="366"/>
      <c r="G27" s="1851"/>
      <c r="H27" s="349"/>
      <c r="I27" s="350"/>
      <c r="J27" s="351"/>
      <c r="K27" s="378" t="s">
        <v>1474</v>
      </c>
      <c r="L27" s="347" t="s">
        <v>1475</v>
      </c>
      <c r="M27" s="379">
        <f ca="1">INDIRECT("'数据-取费表'!ag"&amp;$G$1)</f>
        <v>0</v>
      </c>
    </row>
    <row r="28" spans="1:37" s="1858" customFormat="1" ht="18" customHeight="1">
      <c r="A28" s="1201" t="s">
        <v>1037</v>
      </c>
      <c r="B28" s="347" t="s">
        <v>1476</v>
      </c>
      <c r="C28" s="24">
        <f>ROUND(F28/(1+'数据-取费表'!C42),4)</f>
        <v>5.2400000000000002E-2</v>
      </c>
      <c r="D28" s="369" t="s">
        <v>1477</v>
      </c>
      <c r="E28" s="347" t="s">
        <v>1423</v>
      </c>
      <c r="F28" s="367">
        <f>'数据-取费表'!B41</f>
        <v>5.5000000000000007E-2</v>
      </c>
      <c r="G28" s="1854"/>
      <c r="H28" s="353"/>
      <c r="I28" s="354"/>
      <c r="J28" s="355"/>
      <c r="K28" s="373"/>
      <c r="L28" s="347" t="s">
        <v>1478</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1038</v>
      </c>
      <c r="B29" s="1340" t="s">
        <v>1479</v>
      </c>
      <c r="C29" s="1341">
        <f ca="1">ROUND((C19+C20+C23+C26)/(1-F21-C24-C27-C28),0)</f>
        <v>3372</v>
      </c>
      <c r="D29" s="1342"/>
      <c r="E29" s="1340"/>
      <c r="F29" s="1343"/>
      <c r="G29" s="1854"/>
      <c r="H29" s="380" t="s">
        <v>1033</v>
      </c>
      <c r="I29" s="381" t="s">
        <v>1480</v>
      </c>
      <c r="J29" s="382">
        <f ca="1">ROUND(J26/(1+F40)^F41,0)</f>
        <v>0</v>
      </c>
      <c r="K29" s="383" t="s">
        <v>1481</v>
      </c>
      <c r="L29" s="384"/>
      <c r="M29" s="385">
        <f ca="1">INDIRECT("'数据-取费表'!k"&amp;$G$1)</f>
        <v>10208.15</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1030</v>
      </c>
      <c r="B30" s="1330" t="s">
        <v>1425</v>
      </c>
      <c r="C30" s="355">
        <f ca="1">ROUND(C31+C36+C37+C38,0)</f>
        <v>111</v>
      </c>
      <c r="D30" s="1337" t="s">
        <v>1426</v>
      </c>
      <c r="E30" s="2933"/>
      <c r="F30" s="1294"/>
      <c r="G30" s="1851"/>
      <c r="H30" s="745"/>
      <c r="I30" s="746"/>
      <c r="J30" s="747"/>
      <c r="K30" s="748"/>
      <c r="L30" s="749"/>
      <c r="M30" s="750"/>
    </row>
    <row r="31" spans="1:37" ht="18" customHeight="1">
      <c r="A31" s="1201" t="s">
        <v>1035</v>
      </c>
      <c r="B31" s="347" t="s">
        <v>1430</v>
      </c>
      <c r="C31" s="24">
        <f ca="1">ROUND(IF(项目基本情况!B11="自然人",C5*F31,C32+C33+C34),1)</f>
        <v>53.3</v>
      </c>
      <c r="D31" s="2930" t="s">
        <v>1431</v>
      </c>
      <c r="E31" s="2932" t="s">
        <v>1482</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1034</v>
      </c>
      <c r="B32" s="347" t="s">
        <v>1434</v>
      </c>
      <c r="C32" s="24">
        <f ca="1">IF(项目基本情况!B11="自然人","——",ROUND(C5*F32/(1+'数据-取费表'!C42),2))</f>
        <v>24.57</v>
      </c>
      <c r="D32" s="2932" t="s">
        <v>1435</v>
      </c>
      <c r="E32" s="347" t="s">
        <v>1423</v>
      </c>
      <c r="F32" s="377">
        <f>'数据-取费表'!B41</f>
        <v>5.5000000000000007E-2</v>
      </c>
      <c r="G32" s="1851"/>
      <c r="H32" s="745"/>
      <c r="I32" s="746"/>
      <c r="J32" s="747"/>
      <c r="K32" s="748"/>
      <c r="L32" s="749"/>
      <c r="M32" s="750"/>
    </row>
    <row r="33" spans="1:18" ht="18" customHeight="1">
      <c r="A33" s="1201" t="s">
        <v>1036</v>
      </c>
      <c r="B33" s="347" t="s">
        <v>1438</v>
      </c>
      <c r="C33" s="24">
        <f ca="1">IF(项目基本情况!B11="自然人","——",IF(D33="按租金收入计税",ROUND(C5*F33,2),IF(D33="按房产原值计税",ROUND(C29*F33*0.7,2),INDIRECT("'数据-取费表'!Aj"&amp;$G$1))))</f>
        <v>28.32</v>
      </c>
      <c r="D33" s="1828" t="s">
        <v>1439</v>
      </c>
      <c r="E33" s="347" t="s">
        <v>1423</v>
      </c>
      <c r="F33" s="367">
        <f>IF(D33="按票据","——",IF(D33="按租金收入计税",'数据-取费表'!B51,'数据-取费表'!B50))</f>
        <v>1.2E-2</v>
      </c>
      <c r="G33" s="1851"/>
      <c r="H33" s="1859"/>
      <c r="I33" s="1860"/>
      <c r="J33" s="1861"/>
      <c r="K33" s="1862"/>
      <c r="L33" s="1859"/>
      <c r="M33" s="1859"/>
    </row>
    <row r="34" spans="1:18" ht="18" customHeight="1">
      <c r="A34" s="1291" t="s">
        <v>1389</v>
      </c>
      <c r="B34" s="164" t="s">
        <v>1442</v>
      </c>
      <c r="C34" s="25">
        <f ca="1">IF(项目基本情况!B11="自然人","——",ROUND(F34*F35/10000,2))</f>
        <v>0.42</v>
      </c>
      <c r="D34" s="370" t="s">
        <v>1443</v>
      </c>
      <c r="E34" s="347" t="s">
        <v>1444</v>
      </c>
      <c r="F34" s="371">
        <f>'数据-取费表'!B52</f>
        <v>1.5</v>
      </c>
      <c r="G34" s="1851"/>
      <c r="H34" s="745"/>
      <c r="I34" s="1860"/>
      <c r="J34" s="1861"/>
      <c r="K34" s="1863"/>
      <c r="L34" s="1864"/>
      <c r="M34" s="1864"/>
    </row>
    <row r="35" spans="1:18" ht="18" customHeight="1">
      <c r="A35" s="1353"/>
      <c r="B35" s="1351"/>
      <c r="C35" s="29"/>
      <c r="D35" s="373"/>
      <c r="E35" s="347" t="s">
        <v>1448</v>
      </c>
      <c r="F35" s="348">
        <f ca="1">INDIRECT("'数据-取费表'!r"&amp;$G$1)</f>
        <v>2778.96</v>
      </c>
      <c r="G35" s="1851"/>
      <c r="H35" s="745"/>
      <c r="I35" s="1860"/>
      <c r="J35" s="1861"/>
      <c r="K35" s="1862"/>
      <c r="L35" s="1859"/>
      <c r="M35" s="1859"/>
    </row>
    <row r="36" spans="1:18" ht="18" customHeight="1">
      <c r="A36" s="1352" t="s">
        <v>1039</v>
      </c>
      <c r="B36" s="347" t="s">
        <v>1450</v>
      </c>
      <c r="C36" s="24">
        <f ca="1">ROUND(C29*F36,1)</f>
        <v>50.6</v>
      </c>
      <c r="D36" s="2932" t="s">
        <v>1483</v>
      </c>
      <c r="E36" s="347" t="s">
        <v>1423</v>
      </c>
      <c r="F36" s="374">
        <f ca="1">INDIRECT("'数据-取费表'!Ak"&amp;$G$1)</f>
        <v>1.4999999999999999E-2</v>
      </c>
      <c r="G36" s="1851"/>
      <c r="H36" s="1859"/>
      <c r="I36" s="1860"/>
      <c r="J36" s="1861"/>
      <c r="K36" s="751"/>
      <c r="L36" s="1859"/>
      <c r="M36" s="1859"/>
    </row>
    <row r="37" spans="1:18" ht="18" customHeight="1">
      <c r="A37" s="1201" t="s">
        <v>1075</v>
      </c>
      <c r="B37" s="347" t="s">
        <v>1454</v>
      </c>
      <c r="C37" s="24">
        <f ca="1">ROUND(C13*F37,1)</f>
        <v>0</v>
      </c>
      <c r="D37" s="2932" t="s">
        <v>1455</v>
      </c>
      <c r="E37" s="347" t="s">
        <v>1456</v>
      </c>
      <c r="F37" s="376">
        <f ca="1">INDIRECT("'数据-取费表'!Al"&amp;$G$1)</f>
        <v>1.5E-3</v>
      </c>
      <c r="G37" s="1851"/>
      <c r="H37" s="1859"/>
      <c r="I37" s="1860"/>
      <c r="J37" s="1861"/>
      <c r="K37" s="751"/>
      <c r="L37" s="1859"/>
      <c r="M37" s="1859"/>
    </row>
    <row r="38" spans="1:18" ht="18" customHeight="1" thickBot="1">
      <c r="A38" s="1339" t="s">
        <v>1393</v>
      </c>
      <c r="B38" s="1340" t="s">
        <v>1440</v>
      </c>
      <c r="C38" s="1341">
        <f ca="1">ROUND(C5*F38,1)</f>
        <v>7</v>
      </c>
      <c r="D38" s="1342" t="s">
        <v>1460</v>
      </c>
      <c r="E38" s="1340" t="s">
        <v>1456</v>
      </c>
      <c r="F38" s="1336">
        <f ca="1">INDIRECT("'数据-取费表'!Am"&amp;$G$1)</f>
        <v>1.4999999999999999E-2</v>
      </c>
      <c r="G38" s="1851"/>
      <c r="H38" s="1859"/>
      <c r="I38" s="1860"/>
      <c r="J38" s="1861"/>
      <c r="K38" s="1865"/>
      <c r="L38" s="1859"/>
      <c r="M38" s="1859"/>
    </row>
    <row r="39" spans="1:18" ht="24.6" customHeight="1" thickTop="1">
      <c r="A39" s="1329" t="s">
        <v>1031</v>
      </c>
      <c r="B39" s="1344" t="s">
        <v>1484</v>
      </c>
      <c r="C39" s="355">
        <f ca="1">C5-C30</f>
        <v>358</v>
      </c>
      <c r="D39" s="1345" t="s">
        <v>1485</v>
      </c>
      <c r="E39" s="1346"/>
      <c r="F39" s="1347"/>
      <c r="G39" s="1851"/>
      <c r="H39" s="1859"/>
      <c r="I39" s="1860"/>
      <c r="J39" s="1861"/>
      <c r="K39" s="1865"/>
      <c r="L39" s="1859"/>
      <c r="M39" s="1859"/>
    </row>
    <row r="40" spans="1:18" ht="18" customHeight="1">
      <c r="A40" s="344" t="s">
        <v>1032</v>
      </c>
      <c r="B40" s="345" t="s">
        <v>1486</v>
      </c>
      <c r="C40" s="346">
        <f ca="1">ROUND(C39*(1-((1+F42)/(1+F40))^F41)/(F40-F42),0)</f>
        <v>9689</v>
      </c>
      <c r="D40" s="370" t="s">
        <v>1470</v>
      </c>
      <c r="E40" s="347" t="s">
        <v>1471</v>
      </c>
      <c r="F40" s="357">
        <f ca="1">INDIRECT("'数据-取费表'!I"&amp;$G$1)</f>
        <v>0.05</v>
      </c>
      <c r="G40" s="1851"/>
      <c r="H40" s="1839"/>
      <c r="I40" s="1860"/>
      <c r="J40" s="1861"/>
      <c r="K40" s="1865"/>
      <c r="L40" s="1839"/>
      <c r="M40" s="1839"/>
    </row>
    <row r="41" spans="1:18" ht="18" customHeight="1">
      <c r="A41" s="349"/>
      <c r="B41" s="350"/>
      <c r="C41" s="351"/>
      <c r="D41" s="378" t="s">
        <v>1487</v>
      </c>
      <c r="E41" s="347" t="s">
        <v>1475</v>
      </c>
      <c r="F41" s="379">
        <f ca="1">IF(INDIRECT("'数据-取费表'!af"&amp;$G$1)=0,INDIRECT("'数据-取费表'!ae"&amp;$G$1),INDIRECT("'数据-取费表'!af"&amp;$G$1))</f>
        <v>46.85</v>
      </c>
      <c r="G41" s="1851"/>
      <c r="H41" s="732"/>
      <c r="I41" s="1860"/>
      <c r="J41" s="1861"/>
      <c r="K41" s="751"/>
      <c r="L41" s="732"/>
      <c r="M41" s="732"/>
    </row>
    <row r="42" spans="1:18" ht="18" customHeight="1">
      <c r="A42" s="353"/>
      <c r="B42" s="354"/>
      <c r="C42" s="355"/>
      <c r="D42" s="373"/>
      <c r="E42" s="347" t="s">
        <v>1478</v>
      </c>
      <c r="F42" s="357">
        <f ca="1">INDIRECT("'数据-取费表'!v"&amp;$G$1)</f>
        <v>2.5000000000000001E-2</v>
      </c>
      <c r="G42" s="1851"/>
      <c r="H42" s="732"/>
      <c r="I42" s="1860"/>
      <c r="J42" s="1861"/>
      <c r="K42" s="751"/>
      <c r="L42" s="732"/>
      <c r="M42" s="732"/>
    </row>
    <row r="43" spans="1:18" ht="18" customHeight="1" thickBot="1">
      <c r="A43" s="380" t="s">
        <v>1033</v>
      </c>
      <c r="B43" s="381" t="s">
        <v>1488</v>
      </c>
      <c r="C43" s="382">
        <f ca="1">ROUND(C40*10000/F43,0)</f>
        <v>9491</v>
      </c>
      <c r="D43" s="383" t="s">
        <v>1489</v>
      </c>
      <c r="E43" s="384" t="s">
        <v>1490</v>
      </c>
      <c r="F43" s="385">
        <f ca="1">INDIRECT("'数据-取费表'!k"&amp;$G$1)</f>
        <v>10208.15</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1520</v>
      </c>
      <c r="P45" s="1839"/>
      <c r="Q45" s="1839"/>
      <c r="R45" s="1839"/>
    </row>
    <row r="46" spans="1:18" s="1842" customFormat="1" ht="13.5" thickBot="1">
      <c r="A46" s="1870" t="s">
        <v>1521</v>
      </c>
      <c r="C46" s="1871">
        <f ca="1">C68-C40</f>
        <v>-11108</v>
      </c>
      <c r="D46" s="1872" t="str">
        <f>C2</f>
        <v>万元</v>
      </c>
      <c r="E46" s="1866"/>
      <c r="F46" s="1866"/>
      <c r="I46" s="1873" t="s">
        <v>1522</v>
      </c>
      <c r="J46" s="1874"/>
      <c r="K46" s="1875"/>
      <c r="L46" s="1876" t="str">
        <f ca="1">IF(M47="住宅",0,IF(L48&gt;J51,L60,J60))</f>
        <v>0</v>
      </c>
      <c r="O46" s="1877" t="s">
        <v>1523</v>
      </c>
      <c r="P46" s="1878" t="s">
        <v>1524</v>
      </c>
      <c r="Q46" s="1879" t="s">
        <v>1525</v>
      </c>
      <c r="R46" s="1879" t="s">
        <v>1526</v>
      </c>
    </row>
    <row r="47" spans="1:18" s="1842" customFormat="1" ht="13.5" thickBot="1">
      <c r="A47" s="1165" t="s">
        <v>1396</v>
      </c>
      <c r="B47" s="1197" t="s">
        <v>1397</v>
      </c>
      <c r="C47" s="1367" t="s">
        <v>1398</v>
      </c>
      <c r="D47" s="1197" t="s">
        <v>1399</v>
      </c>
      <c r="E47" s="1279" t="s">
        <v>1400</v>
      </c>
      <c r="F47" s="1280"/>
      <c r="G47" s="792"/>
      <c r="I47" s="1880" t="s">
        <v>1527</v>
      </c>
      <c r="J47" s="1881" t="s">
        <v>3169</v>
      </c>
      <c r="K47" s="1882" t="s">
        <v>1528</v>
      </c>
      <c r="L47" s="1883">
        <f ca="1">INDIRECT("'数据-取费表'!d"&amp;$G$1)</f>
        <v>50</v>
      </c>
      <c r="M47" s="1838" t="str">
        <f>IF(ISNUMBER(FIND("住宅",C1)),"住宅","非住宅")</f>
        <v>非住宅</v>
      </c>
      <c r="O47" s="1884" t="s">
        <v>1040</v>
      </c>
      <c r="P47" s="1885" t="s">
        <v>1529</v>
      </c>
      <c r="Q47" s="1886">
        <f ca="1">C40+J29</f>
        <v>9689</v>
      </c>
      <c r="R47" s="1886" t="s">
        <v>1530</v>
      </c>
    </row>
    <row r="48" spans="1:18" s="1842" customFormat="1" ht="28.5" thickBot="1">
      <c r="A48" s="1360" t="s">
        <v>1135</v>
      </c>
      <c r="B48" s="345" t="s">
        <v>1401</v>
      </c>
      <c r="C48" s="2924">
        <f ca="1">C49+C53+C55</f>
        <v>0</v>
      </c>
      <c r="D48" s="1362"/>
      <c r="E48" s="1363"/>
      <c r="F48" s="1181"/>
      <c r="G48" s="792"/>
      <c r="H48" s="793"/>
      <c r="I48" s="1887" t="s">
        <v>1531</v>
      </c>
      <c r="J48" s="1888" t="s">
        <v>3170</v>
      </c>
      <c r="K48" s="1889" t="s">
        <v>1532</v>
      </c>
      <c r="L48" s="1890">
        <f ca="1">INDIRECT("'数据-取费表'!f"&amp;$G$1)</f>
        <v>47.95</v>
      </c>
      <c r="O48" s="1884" t="s">
        <v>1041</v>
      </c>
      <c r="P48" s="1885" t="s">
        <v>1533</v>
      </c>
      <c r="Q48" s="1886" t="str">
        <f ca="1">J60</f>
        <v>0</v>
      </c>
      <c r="R48" s="1886" t="s">
        <v>1534</v>
      </c>
    </row>
    <row r="49" spans="1:18" s="1842" customFormat="1" ht="13.5" thickBot="1">
      <c r="A49" s="1194" t="s">
        <v>1136</v>
      </c>
      <c r="B49" s="1829" t="s">
        <v>1491</v>
      </c>
      <c r="C49" s="1364">
        <f ca="1">ROUND(F49*F51*F50*(1-F52)/10000,0)</f>
        <v>0</v>
      </c>
      <c r="D49" s="1276" t="s">
        <v>3031</v>
      </c>
      <c r="E49" s="1830" t="s">
        <v>1492</v>
      </c>
      <c r="F49" s="1281"/>
      <c r="G49" s="1891"/>
      <c r="H49" s="793"/>
      <c r="I49" s="1887" t="s">
        <v>1535</v>
      </c>
      <c r="J49" s="1892">
        <v>2018</v>
      </c>
      <c r="K49" s="1889" t="s">
        <v>1536</v>
      </c>
      <c r="L49" s="1893"/>
      <c r="O49" s="1894" t="s">
        <v>1042</v>
      </c>
      <c r="P49" s="1885" t="s">
        <v>1537</v>
      </c>
      <c r="Q49" s="1886">
        <f ca="1">C29</f>
        <v>3372</v>
      </c>
      <c r="R49" s="1886" t="s">
        <v>1530</v>
      </c>
    </row>
    <row r="50" spans="1:18" s="1842" customFormat="1" ht="13.5" thickBot="1">
      <c r="A50" s="1195"/>
      <c r="B50" s="1198"/>
      <c r="C50" s="1368"/>
      <c r="D50" s="1172"/>
      <c r="E50" s="1277" t="s">
        <v>1406</v>
      </c>
      <c r="F50" s="1278">
        <f ca="1">F7</f>
        <v>10208.15</v>
      </c>
      <c r="H50" s="793"/>
      <c r="I50" s="1887" t="s">
        <v>1538</v>
      </c>
      <c r="J50" s="1895">
        <f>SUMPRODUCT((I63:I65=J47)*(J62:L62=J48)*(J63:L65))</f>
        <v>60</v>
      </c>
      <c r="K50" s="1889" t="s">
        <v>1539</v>
      </c>
      <c r="L50" s="1893"/>
      <c r="M50" s="1896"/>
      <c r="O50" s="1894" t="s">
        <v>1043</v>
      </c>
      <c r="P50" s="1885" t="s">
        <v>1540</v>
      </c>
      <c r="Q50" s="1897" t="e">
        <f ca="1">J58</f>
        <v>#VALUE!</v>
      </c>
      <c r="R50" s="1886"/>
    </row>
    <row r="51" spans="1:18" s="1842" customFormat="1" ht="13.5" thickBot="1">
      <c r="A51" s="1196"/>
      <c r="B51" s="1198"/>
      <c r="C51" s="1199"/>
      <c r="D51" s="1172"/>
      <c r="E51" s="1200" t="s">
        <v>1407</v>
      </c>
      <c r="F51" s="348">
        <f ca="1">F8</f>
        <v>365</v>
      </c>
      <c r="I51" s="1898" t="s">
        <v>1541</v>
      </c>
      <c r="J51" s="1899">
        <f>IF(J49="",J50,J49+J50-YEAR('数据-取费表'!B2))</f>
        <v>60</v>
      </c>
      <c r="K51" s="1900" t="s">
        <v>1542</v>
      </c>
      <c r="L51" s="1901">
        <f ca="1">ROUND(-PV(INDIRECT("'数据-取费表'!h"&amp;$G$1),L48,(C39-C13*C76),0),0)</f>
        <v>7585</v>
      </c>
      <c r="M51" s="1902"/>
      <c r="O51" s="1894" t="s">
        <v>1044</v>
      </c>
      <c r="P51" s="1885" t="s">
        <v>1543</v>
      </c>
      <c r="Q51" s="1897">
        <f>J52</f>
        <v>0.09</v>
      </c>
      <c r="R51" s="1886"/>
    </row>
    <row r="52" spans="1:18" s="1842" customFormat="1" ht="13.5" thickBot="1">
      <c r="A52" s="1196"/>
      <c r="B52" s="1198"/>
      <c r="C52" s="1199"/>
      <c r="D52" s="1172"/>
      <c r="E52" s="1200" t="s">
        <v>1408</v>
      </c>
      <c r="F52" s="1275"/>
      <c r="I52" s="1903" t="s">
        <v>1544</v>
      </c>
      <c r="J52" s="1904">
        <v>0.09</v>
      </c>
      <c r="K52" s="1903" t="s">
        <v>1545</v>
      </c>
      <c r="L52" s="1904"/>
      <c r="O52" s="1894" t="s">
        <v>1045</v>
      </c>
      <c r="P52" s="1885" t="s">
        <v>1546</v>
      </c>
      <c r="Q52" s="1886">
        <f ca="1">J53</f>
        <v>46.85</v>
      </c>
      <c r="R52" s="1886" t="s">
        <v>1547</v>
      </c>
    </row>
    <row r="53" spans="1:18" s="1842" customFormat="1" ht="24.75" thickBot="1">
      <c r="A53" s="1405" t="s">
        <v>1137</v>
      </c>
      <c r="B53" s="1831" t="s">
        <v>1409</v>
      </c>
      <c r="C53" s="361">
        <f ca="1">ROUND(IF(F53="押一",F49*F51*F50/12*F11,IF(F53="押二",F49*F51*F50/12*2*F11,IF(F53="押三",F49*F51*F50/12*3*F11,C54*F11)))/10000,0)</f>
        <v>0</v>
      </c>
      <c r="D53" s="1824" t="s">
        <v>3029</v>
      </c>
      <c r="E53" s="358" t="s">
        <v>1411</v>
      </c>
      <c r="F53" s="1366"/>
      <c r="I53" s="1905" t="s">
        <v>1548</v>
      </c>
      <c r="J53" s="1906">
        <f ca="1">IF(M47="住宅",J51,IF(D1="——",MIN(J51,L48),IF(D1="在建（套用方法）",MIN(J51,L48-'数据-取费表'!B24),IF(D1="土地（套用方法）",MIN(J51,L48-'数据-取费表'!B20)))))</f>
        <v>46.85</v>
      </c>
      <c r="K53" s="3396" t="s">
        <v>1549</v>
      </c>
      <c r="L53" s="3397"/>
      <c r="O53" s="1884" t="s">
        <v>1046</v>
      </c>
      <c r="P53" s="1885" t="s">
        <v>1550</v>
      </c>
      <c r="Q53" s="1886">
        <f ca="1">Q47+Q48</f>
        <v>9689</v>
      </c>
      <c r="R53" s="1886" t="s">
        <v>1047</v>
      </c>
    </row>
    <row r="54" spans="1:18" s="1842" customFormat="1" ht="13.5" thickBot="1">
      <c r="A54" s="1406"/>
      <c r="B54" s="1825" t="s">
        <v>1388</v>
      </c>
      <c r="C54" s="1178"/>
      <c r="D54" s="1824"/>
      <c r="E54" s="2928"/>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1551</v>
      </c>
      <c r="P54" s="1839"/>
      <c r="Q54" s="1839"/>
      <c r="R54" s="1839"/>
    </row>
    <row r="55" spans="1:18" s="1842" customFormat="1" ht="13.5" thickBot="1">
      <c r="A55" s="1333" t="s">
        <v>1075</v>
      </c>
      <c r="B55" s="1827" t="s">
        <v>1414</v>
      </c>
      <c r="C55" s="1334"/>
      <c r="D55" s="1824"/>
      <c r="E55" s="2928"/>
      <c r="F55" s="1907"/>
      <c r="I55" s="1910" t="s">
        <v>1552</v>
      </c>
      <c r="J55" s="1911" t="e">
        <f ca="1">ROUND(IF(J47="钢混",J57/J50,1-(1-2%)*(J50-J57)/J50),3)</f>
        <v>#VALUE!</v>
      </c>
      <c r="K55" s="1912" t="s">
        <v>1553</v>
      </c>
      <c r="L55" s="1913" t="s">
        <v>1554</v>
      </c>
      <c r="O55" s="1877" t="s">
        <v>1523</v>
      </c>
      <c r="P55" s="1878" t="s">
        <v>1524</v>
      </c>
      <c r="Q55" s="1879" t="s">
        <v>1525</v>
      </c>
      <c r="R55" s="1879" t="s">
        <v>1526</v>
      </c>
    </row>
    <row r="56" spans="1:18" s="1842" customFormat="1" ht="25.5" thickTop="1" thickBot="1">
      <c r="A56" s="1176">
        <v>2</v>
      </c>
      <c r="B56" s="1177" t="s">
        <v>1415</v>
      </c>
      <c r="C56" s="276">
        <f ca="1">C13</f>
        <v>0</v>
      </c>
      <c r="D56" s="1914"/>
      <c r="E56" s="1915"/>
      <c r="F56" s="1907"/>
      <c r="I56" s="1916" t="s">
        <v>1555</v>
      </c>
      <c r="J56" s="1917" t="s">
        <v>3145</v>
      </c>
      <c r="K56" s="1887" t="s">
        <v>1556</v>
      </c>
      <c r="L56" s="1890" t="str">
        <f ca="1">IF(L48&lt;J51,"——",L48-J53)</f>
        <v>——</v>
      </c>
      <c r="O56" s="1884" t="s">
        <v>1040</v>
      </c>
      <c r="P56" s="1885" t="s">
        <v>1529</v>
      </c>
      <c r="Q56" s="1886">
        <f ca="1">C40+J29</f>
        <v>9689</v>
      </c>
      <c r="R56" s="1886" t="s">
        <v>1530</v>
      </c>
    </row>
    <row r="57" spans="1:18" s="1842" customFormat="1" ht="24.75" thickBot="1">
      <c r="A57" s="1918"/>
      <c r="B57" s="1169" t="s">
        <v>1479</v>
      </c>
      <c r="C57" s="282">
        <f ca="1">C29</f>
        <v>3372</v>
      </c>
      <c r="D57" s="1919"/>
      <c r="E57" s="1920"/>
      <c r="F57" s="1921"/>
      <c r="I57" s="1922" t="s">
        <v>1557</v>
      </c>
      <c r="J57" s="1923" t="str">
        <f ca="1">IF(OR(M47="住宅",J51&lt;L48,J56="是"),"——",J51-L48)</f>
        <v>——</v>
      </c>
      <c r="K57" s="1887" t="s">
        <v>1558</v>
      </c>
      <c r="L57" s="1890" t="str">
        <f ca="1">IF(L48&lt;J51,"——",IF(L55="比较法",L49,IF(L55="基准地价",L50,L51)))</f>
        <v>——</v>
      </c>
      <c r="O57" s="1884" t="s">
        <v>1041</v>
      </c>
      <c r="P57" s="1885" t="s">
        <v>1559</v>
      </c>
      <c r="Q57" s="1886">
        <f ca="1">L60</f>
        <v>0</v>
      </c>
      <c r="R57" s="1886" t="s">
        <v>1560</v>
      </c>
    </row>
    <row r="58" spans="1:18" s="1842" customFormat="1" ht="24.75" thickBot="1">
      <c r="A58" s="360" t="s">
        <v>1030</v>
      </c>
      <c r="B58" s="1177" t="s">
        <v>1425</v>
      </c>
      <c r="C58" s="361">
        <f ca="1">ROUND(C59+C64+C65+C66,0)</f>
        <v>79</v>
      </c>
      <c r="D58" s="1179" t="s">
        <v>1426</v>
      </c>
      <c r="E58" s="1180"/>
      <c r="F58" s="1181"/>
      <c r="I58" s="1922" t="s">
        <v>1561</v>
      </c>
      <c r="J58" s="1924" t="e">
        <f ca="1">IF(J55&lt;0.4,0.4,J55)</f>
        <v>#VALUE!</v>
      </c>
      <c r="K58" s="1900" t="s">
        <v>1562</v>
      </c>
      <c r="L58" s="1890" t="e">
        <f ca="1">ROUND(POWER(1+L52,L47-L48)*(POWER(1+L52,L48)-1)/(POWER(1+L52,L47)-1),4)</f>
        <v>#DIV/0!</v>
      </c>
      <c r="O58" s="1894" t="s">
        <v>1042</v>
      </c>
      <c r="P58" s="1885" t="s">
        <v>1563</v>
      </c>
      <c r="Q58" s="1886">
        <f>IF(L55="比较法",L49,IF(L55="基准地价",L50,0))</f>
        <v>0</v>
      </c>
      <c r="R58" s="1886" t="s">
        <v>1530</v>
      </c>
    </row>
    <row r="59" spans="1:18" s="1842" customFormat="1" ht="24.75" thickBot="1">
      <c r="A59" s="1201" t="s">
        <v>1035</v>
      </c>
      <c r="B59" s="1169" t="s">
        <v>1430</v>
      </c>
      <c r="C59" s="24">
        <f ca="1">ROUND(IF(项目基本情况!B11="自然人",C48*F59,C60+C61+C62),1)</f>
        <v>28.7</v>
      </c>
      <c r="D59" s="1182" t="s">
        <v>1431</v>
      </c>
      <c r="E59" s="1183" t="s">
        <v>1432</v>
      </c>
      <c r="F59" s="368" t="str">
        <f ca="1">IF(项目基本情况!B11="企业","",IF(INDIRECT("'数据-取费表'!c"&amp;$G$1)="住宅",5%,IF(F49*F50*F51/12/(1+'数据-取费表'!C42)&gt;20000,12%,7%)))</f>
        <v/>
      </c>
      <c r="I59" s="1922" t="s">
        <v>1564</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1043</v>
      </c>
      <c r="P59" s="1885" t="s">
        <v>1565</v>
      </c>
      <c r="Q59" s="1897">
        <f>L52</f>
        <v>0</v>
      </c>
      <c r="R59" s="1886"/>
    </row>
    <row r="60" spans="1:18" s="1842" customFormat="1" ht="16.5" thickBot="1">
      <c r="A60" s="1201" t="s">
        <v>1034</v>
      </c>
      <c r="B60" s="1169" t="s">
        <v>1434</v>
      </c>
      <c r="C60" s="24">
        <f ca="1">IF(项目基本情况!B11="自然人","——",ROUND(C48*F60/(1+'数据-取费表'!C42),2))</f>
        <v>0</v>
      </c>
      <c r="D60" s="1183" t="s">
        <v>1435</v>
      </c>
      <c r="E60" s="1169" t="s">
        <v>1423</v>
      </c>
      <c r="F60" s="377">
        <f t="shared" ref="F60:F66" si="0">F32</f>
        <v>5.5000000000000007E-2</v>
      </c>
      <c r="I60" s="1925" t="s">
        <v>1566</v>
      </c>
      <c r="J60" s="1926" t="str">
        <f ca="1">IF(OR(M47="住宅",J51&lt;L48,J56="是"),"0",ROUND(J59/(1+J52)^J53,0))</f>
        <v>0</v>
      </c>
      <c r="K60" s="1927" t="s">
        <v>1567</v>
      </c>
      <c r="L60" s="1926">
        <f ca="1">IF(OR(M47="住宅",L48&lt;J51),0,ROUND(L57*(L58/L59-1),0))</f>
        <v>0</v>
      </c>
      <c r="O60" s="1894" t="s">
        <v>1044</v>
      </c>
      <c r="P60" s="1885" t="s">
        <v>1568</v>
      </c>
      <c r="Q60" s="1886" t="e">
        <f ca="1">L58</f>
        <v>#DIV/0!</v>
      </c>
      <c r="R60" s="1886" t="s">
        <v>1569</v>
      </c>
    </row>
    <row r="61" spans="1:18" s="1842" customFormat="1" ht="13.5" thickBot="1">
      <c r="A61" s="1201" t="s">
        <v>1493</v>
      </c>
      <c r="B61" s="1169" t="s">
        <v>1494</v>
      </c>
      <c r="C61" s="24">
        <f ca="1">IF(项目基本情况!B11="自然人","——",IF(D61="按租金收入计税",ROUND(C48*F61,2),IF(D61="按房产原值计税",ROUND(C57*F61*0.7,2),INDIRECT("'数据-取费表'!Aj"&amp;$G$1))))</f>
        <v>28.32</v>
      </c>
      <c r="D61" s="1828" t="s">
        <v>1439</v>
      </c>
      <c r="E61" s="1169" t="s">
        <v>1495</v>
      </c>
      <c r="F61" s="367">
        <f t="shared" si="0"/>
        <v>1.2E-2</v>
      </c>
      <c r="I61" s="1928"/>
      <c r="J61" s="1928"/>
      <c r="K61" s="1928"/>
      <c r="L61" s="1928"/>
      <c r="O61" s="1894" t="s">
        <v>1045</v>
      </c>
      <c r="P61" s="1885" t="str">
        <f>K59</f>
        <v>续建工期及建筑物耐用年限下的土地年期修正系数Kn</v>
      </c>
      <c r="Q61" s="1886" t="e">
        <f ca="1">L59</f>
        <v>#DIV/0!</v>
      </c>
      <c r="R61" s="1886" t="s">
        <v>1570</v>
      </c>
    </row>
    <row r="62" spans="1:18" s="1842" customFormat="1" ht="13.5" thickBot="1">
      <c r="A62" s="1201" t="s">
        <v>1496</v>
      </c>
      <c r="B62" s="1168" t="s">
        <v>1497</v>
      </c>
      <c r="C62" s="25">
        <f ca="1">IF(项目基本情况!B11="自然人","——",ROUND(F62*F63/10000,2))</f>
        <v>0.42</v>
      </c>
      <c r="D62" s="1184" t="s">
        <v>1498</v>
      </c>
      <c r="E62" s="1169" t="s">
        <v>1499</v>
      </c>
      <c r="F62" s="371">
        <f t="shared" si="0"/>
        <v>1.5</v>
      </c>
      <c r="I62" s="1929" t="s">
        <v>1571</v>
      </c>
      <c r="J62" s="1930" t="s">
        <v>1572</v>
      </c>
      <c r="K62" s="1930" t="s">
        <v>1573</v>
      </c>
      <c r="L62" s="1930" t="s">
        <v>1574</v>
      </c>
      <c r="M62" s="1931" t="s">
        <v>1575</v>
      </c>
      <c r="O62" s="1884" t="s">
        <v>1046</v>
      </c>
      <c r="P62" s="1885" t="s">
        <v>1576</v>
      </c>
      <c r="Q62" s="1886">
        <f ca="1">Q56+Q57</f>
        <v>9689</v>
      </c>
      <c r="R62" s="1886" t="s">
        <v>1047</v>
      </c>
    </row>
    <row r="63" spans="1:18" s="1842" customFormat="1" ht="13.5" thickBot="1">
      <c r="A63" s="372"/>
      <c r="B63" s="1175"/>
      <c r="C63" s="29"/>
      <c r="D63" s="1185"/>
      <c r="E63" s="1169" t="s">
        <v>1500</v>
      </c>
      <c r="F63" s="348">
        <f t="shared" ca="1" si="0"/>
        <v>2778.96</v>
      </c>
      <c r="I63" s="1929" t="s">
        <v>1577</v>
      </c>
      <c r="J63" s="1930">
        <v>70</v>
      </c>
      <c r="K63" s="1930">
        <v>50</v>
      </c>
      <c r="L63" s="1930">
        <v>80</v>
      </c>
      <c r="M63" s="1932">
        <v>0.02</v>
      </c>
      <c r="O63" s="1869" t="s">
        <v>1578</v>
      </c>
      <c r="P63" s="1839"/>
      <c r="Q63" s="1839"/>
      <c r="R63" s="1839"/>
    </row>
    <row r="64" spans="1:18" s="1842" customFormat="1" ht="13.5" thickBot="1">
      <c r="A64" s="1201" t="s">
        <v>1501</v>
      </c>
      <c r="B64" s="1169" t="s">
        <v>1502</v>
      </c>
      <c r="C64" s="24">
        <f ca="1">ROUND(C57*F64,1)</f>
        <v>50.6</v>
      </c>
      <c r="D64" s="1183" t="s">
        <v>1503</v>
      </c>
      <c r="E64" s="1169" t="s">
        <v>1495</v>
      </c>
      <c r="F64" s="374">
        <f t="shared" ca="1" si="0"/>
        <v>1.4999999999999999E-2</v>
      </c>
      <c r="I64" s="1929" t="s">
        <v>1579</v>
      </c>
      <c r="J64" s="1930">
        <v>50</v>
      </c>
      <c r="K64" s="1930">
        <v>35</v>
      </c>
      <c r="L64" s="1930">
        <v>60</v>
      </c>
      <c r="M64" s="1931">
        <v>0</v>
      </c>
      <c r="O64" s="1877" t="s">
        <v>1523</v>
      </c>
      <c r="P64" s="1878" t="s">
        <v>1524</v>
      </c>
      <c r="Q64" s="1879" t="s">
        <v>1525</v>
      </c>
      <c r="R64" s="1879" t="s">
        <v>1526</v>
      </c>
    </row>
    <row r="65" spans="1:18" s="1842" customFormat="1" ht="13.5" thickBot="1">
      <c r="A65" s="1201" t="s">
        <v>1504</v>
      </c>
      <c r="B65" s="1169" t="s">
        <v>1454</v>
      </c>
      <c r="C65" s="24">
        <f ca="1">ROUND(C56*F65,1)</f>
        <v>0</v>
      </c>
      <c r="D65" s="1183" t="s">
        <v>1455</v>
      </c>
      <c r="E65" s="1169" t="s">
        <v>1456</v>
      </c>
      <c r="F65" s="376">
        <f t="shared" ca="1" si="0"/>
        <v>1.5E-3</v>
      </c>
      <c r="I65" s="1929" t="s">
        <v>1580</v>
      </c>
      <c r="J65" s="1930">
        <v>40</v>
      </c>
      <c r="K65" s="1930">
        <v>30</v>
      </c>
      <c r="L65" s="1930">
        <v>50</v>
      </c>
      <c r="M65" s="1932">
        <v>0.02</v>
      </c>
      <c r="O65" s="1884" t="s">
        <v>1040</v>
      </c>
      <c r="P65" s="1885" t="s">
        <v>1581</v>
      </c>
      <c r="Q65" s="1886">
        <f ca="1">C40+J29</f>
        <v>9689</v>
      </c>
      <c r="R65" s="1886" t="s">
        <v>1530</v>
      </c>
    </row>
    <row r="66" spans="1:18" s="1842" customFormat="1" ht="16.5" thickBot="1">
      <c r="A66" s="1201" t="s">
        <v>1505</v>
      </c>
      <c r="B66" s="1169" t="s">
        <v>1440</v>
      </c>
      <c r="C66" s="24">
        <f ca="1">ROUND(C48*F66,1)</f>
        <v>0</v>
      </c>
      <c r="D66" s="1183" t="s">
        <v>1506</v>
      </c>
      <c r="E66" s="1169" t="s">
        <v>1423</v>
      </c>
      <c r="F66" s="357">
        <f t="shared" ca="1" si="0"/>
        <v>1.4999999999999999E-2</v>
      </c>
      <c r="O66" s="1884" t="s">
        <v>1041</v>
      </c>
      <c r="P66" s="1885" t="s">
        <v>1559</v>
      </c>
      <c r="Q66" s="1886">
        <f ca="1">L60</f>
        <v>0</v>
      </c>
      <c r="R66" s="1886" t="s">
        <v>1582</v>
      </c>
    </row>
    <row r="67" spans="1:18" s="1842" customFormat="1" ht="16.5" thickBot="1">
      <c r="A67" s="1176" t="s">
        <v>1031</v>
      </c>
      <c r="B67" s="1186" t="s">
        <v>1464</v>
      </c>
      <c r="C67" s="361">
        <f ca="1">C48-C58</f>
        <v>-79</v>
      </c>
      <c r="D67" s="1182" t="s">
        <v>1465</v>
      </c>
      <c r="E67" s="1187"/>
      <c r="F67" s="1188"/>
      <c r="O67" s="1894" t="s">
        <v>1042</v>
      </c>
      <c r="P67" s="1885" t="s">
        <v>1563</v>
      </c>
      <c r="Q67" s="1933">
        <f ca="1">L51</f>
        <v>7585</v>
      </c>
      <c r="R67" s="1886" t="s">
        <v>1583</v>
      </c>
    </row>
    <row r="68" spans="1:18" s="1842" customFormat="1" ht="16.5" thickBot="1">
      <c r="A68" s="1166" t="s">
        <v>1032</v>
      </c>
      <c r="B68" s="1167" t="s">
        <v>1486</v>
      </c>
      <c r="C68" s="346">
        <f ca="1">ROUND(C67*(1-((1+F70)/(1+F68))^F69)/(F68-F70),0)</f>
        <v>-1419</v>
      </c>
      <c r="D68" s="1184" t="s">
        <v>1470</v>
      </c>
      <c r="E68" s="1169" t="s">
        <v>1471</v>
      </c>
      <c r="F68" s="357">
        <f ca="1">F40</f>
        <v>0.05</v>
      </c>
      <c r="O68" s="1894" t="s">
        <v>1043</v>
      </c>
      <c r="P68" s="1934" t="s">
        <v>1584</v>
      </c>
      <c r="Q68" s="1886">
        <f ca="1">ROUND(Q69-Q70*Q71,0)</f>
        <v>358</v>
      </c>
      <c r="R68" s="1886" t="s">
        <v>1051</v>
      </c>
    </row>
    <row r="69" spans="1:18" s="1842" customFormat="1" ht="13.5" thickBot="1">
      <c r="A69" s="1170"/>
      <c r="B69" s="1171"/>
      <c r="C69" s="351"/>
      <c r="D69" s="1189" t="s">
        <v>1474</v>
      </c>
      <c r="E69" s="1169" t="s">
        <v>1475</v>
      </c>
      <c r="F69" s="379">
        <f ca="1">F41</f>
        <v>46.85</v>
      </c>
      <c r="O69" s="1894" t="s">
        <v>1048</v>
      </c>
      <c r="P69" s="1934" t="s">
        <v>1585</v>
      </c>
      <c r="Q69" s="1886">
        <f ca="1">C39</f>
        <v>358</v>
      </c>
      <c r="R69" s="1886" t="s">
        <v>1530</v>
      </c>
    </row>
    <row r="70" spans="1:18" s="1842" customFormat="1" ht="13.5" thickBot="1">
      <c r="A70" s="1173"/>
      <c r="B70" s="1174"/>
      <c r="C70" s="355"/>
      <c r="D70" s="1185"/>
      <c r="E70" s="1169" t="s">
        <v>1478</v>
      </c>
      <c r="F70" s="1275"/>
      <c r="O70" s="1894" t="s">
        <v>1049</v>
      </c>
      <c r="P70" s="1934" t="s">
        <v>1586</v>
      </c>
      <c r="Q70" s="1886">
        <f ca="1">C13</f>
        <v>0</v>
      </c>
      <c r="R70" s="1886" t="s">
        <v>1530</v>
      </c>
    </row>
    <row r="71" spans="1:18" s="1842" customFormat="1" ht="13.5" thickBot="1">
      <c r="A71" s="1190" t="s">
        <v>1033</v>
      </c>
      <c r="B71" s="1191" t="s">
        <v>1488</v>
      </c>
      <c r="C71" s="382">
        <f ca="1">ROUND(C68*10000/F71,0)</f>
        <v>-1390</v>
      </c>
      <c r="D71" s="1192" t="s">
        <v>1489</v>
      </c>
      <c r="E71" s="1193" t="s">
        <v>1490</v>
      </c>
      <c r="F71" s="385">
        <f ca="1">F43</f>
        <v>10208.15</v>
      </c>
      <c r="O71" s="1894" t="s">
        <v>1050</v>
      </c>
      <c r="P71" s="1934" t="s">
        <v>1587</v>
      </c>
      <c r="Q71" s="1897">
        <f ca="1">C76</f>
        <v>8.5000000000000006E-2</v>
      </c>
      <c r="R71" s="1886"/>
    </row>
    <row r="72" spans="1:18" s="1842" customFormat="1" ht="13.5" thickBot="1">
      <c r="B72" s="796"/>
      <c r="C72" s="796"/>
      <c r="O72" s="1894" t="s">
        <v>1044</v>
      </c>
      <c r="P72" s="1885" t="s">
        <v>1565</v>
      </c>
      <c r="Q72" s="1897">
        <f>L52</f>
        <v>0</v>
      </c>
      <c r="R72" s="1886"/>
    </row>
    <row r="73" spans="1:18" ht="16.5" thickBot="1">
      <c r="A73" s="1842"/>
      <c r="B73" s="796"/>
      <c r="C73" s="796"/>
      <c r="D73" s="1842"/>
      <c r="E73" s="1842"/>
      <c r="F73" s="1842"/>
      <c r="O73" s="1894" t="s">
        <v>1045</v>
      </c>
      <c r="P73" s="1885" t="s">
        <v>1568</v>
      </c>
      <c r="Q73" s="1886" t="e">
        <f ca="1">L58</f>
        <v>#DIV/0!</v>
      </c>
      <c r="R73" s="1886" t="s">
        <v>1569</v>
      </c>
    </row>
    <row r="74" spans="1:18" ht="13.5" thickBot="1">
      <c r="A74" s="1842"/>
      <c r="B74" s="317" t="s">
        <v>1588</v>
      </c>
      <c r="C74" s="1936"/>
      <c r="D74" s="1842"/>
      <c r="E74" s="1842"/>
      <c r="F74" s="1842"/>
      <c r="O74" s="1894" t="s">
        <v>1052</v>
      </c>
      <c r="P74" s="1885" t="str">
        <f>K59</f>
        <v>续建工期及建筑物耐用年限下的土地年期修正系数Kn</v>
      </c>
      <c r="Q74" s="1886" t="e">
        <f ca="1">L59</f>
        <v>#DIV/0!</v>
      </c>
      <c r="R74" s="1886" t="s">
        <v>1570</v>
      </c>
    </row>
    <row r="75" spans="1:18" ht="13.5" thickBot="1">
      <c r="A75" s="1842"/>
      <c r="B75" s="386" t="s">
        <v>1507</v>
      </c>
      <c r="C75" s="387">
        <f ca="1">ROUND(C13*C76,0)</f>
        <v>0</v>
      </c>
      <c r="D75" s="1842"/>
      <c r="E75" s="1842"/>
      <c r="F75" s="1842"/>
      <c r="K75" s="1868"/>
      <c r="L75" s="1842"/>
      <c r="O75" s="1884" t="s">
        <v>1046</v>
      </c>
      <c r="P75" s="1885" t="s">
        <v>1550</v>
      </c>
      <c r="Q75" s="1886">
        <f ca="1">Q65+Q66</f>
        <v>9689</v>
      </c>
      <c r="R75" s="1886" t="s">
        <v>1047</v>
      </c>
    </row>
    <row r="76" spans="1:18">
      <c r="B76" s="388" t="s">
        <v>1508</v>
      </c>
      <c r="C76" s="389">
        <f ca="1">INDIRECT("'数据-取费表'!j"&amp;$G$1)</f>
        <v>8.5000000000000006E-2</v>
      </c>
      <c r="I76" s="1842"/>
      <c r="J76" s="1842"/>
      <c r="K76" s="1868"/>
      <c r="L76" s="1842"/>
    </row>
    <row r="77" spans="1:18">
      <c r="B77" s="390" t="s">
        <v>1509</v>
      </c>
      <c r="C77" s="391"/>
      <c r="I77" s="1842"/>
      <c r="J77" s="1842"/>
      <c r="K77" s="1868"/>
      <c r="L77" s="1842"/>
    </row>
    <row r="78" spans="1:18">
      <c r="B78" s="314" t="s">
        <v>1510</v>
      </c>
      <c r="C78" s="392"/>
    </row>
    <row r="79" spans="1:18">
      <c r="B79" s="386" t="s">
        <v>1511</v>
      </c>
      <c r="C79" s="318">
        <f ca="1">1-C80</f>
        <v>1</v>
      </c>
    </row>
    <row r="80" spans="1:18">
      <c r="B80" s="386" t="s">
        <v>1512</v>
      </c>
      <c r="C80" s="318">
        <f ca="1">ROUND(C75/C39,3)</f>
        <v>0</v>
      </c>
    </row>
    <row r="81" spans="2:3">
      <c r="B81" s="314" t="s">
        <v>1513</v>
      </c>
      <c r="C81" s="282"/>
    </row>
    <row r="82" spans="2:3">
      <c r="B82" s="317" t="s">
        <v>1514</v>
      </c>
      <c r="C82" s="319">
        <f ca="1">1-C83</f>
        <v>1</v>
      </c>
    </row>
    <row r="83" spans="2:3">
      <c r="B83" s="317" t="s">
        <v>1515</v>
      </c>
      <c r="C83" s="318">
        <f ca="1">ROUND(C13/C40,3)</f>
        <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 priority="4">
      <formula>$L$48&gt;$J$51</formula>
    </cfRule>
  </conditionalFormatting>
  <conditionalFormatting sqref="I55 I60">
    <cfRule type="expression" dxfId="13" priority="5">
      <formula>$J$51&gt;$L$48</formula>
    </cfRule>
  </conditionalFormatting>
  <conditionalFormatting sqref="C11">
    <cfRule type="expression" dxfId="12" priority="3">
      <formula>$F$10="自定义"</formula>
    </cfRule>
  </conditionalFormatting>
  <conditionalFormatting sqref="J11">
    <cfRule type="expression" dxfId="11" priority="2">
      <formula>$M$10="自定义"</formula>
    </cfRule>
  </conditionalFormatting>
  <conditionalFormatting sqref="C54">
    <cfRule type="expression" dxfId="1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J56" sqref="J5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1590</v>
      </c>
      <c r="B1" s="782"/>
      <c r="C1" s="1837" t="s">
        <v>3360</v>
      </c>
      <c r="D1" s="1820" t="s">
        <v>3168</v>
      </c>
      <c r="E1" s="1821" t="s">
        <v>1387</v>
      </c>
      <c r="F1" s="1283">
        <f ca="1">J53</f>
        <v>46.85</v>
      </c>
      <c r="G1" s="1836">
        <f>MATCH(C1,'数据-取费表'!A6:A16,0)+5</f>
        <v>10</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1516</v>
      </c>
      <c r="B2" s="1844">
        <f ca="1">C40+J29+L46</f>
        <v>23087</v>
      </c>
      <c r="C2" s="1845" t="s">
        <v>1517</v>
      </c>
      <c r="D2" s="1845"/>
      <c r="E2" s="1846"/>
      <c r="F2" s="1847"/>
      <c r="G2" s="1848"/>
      <c r="H2" s="1840"/>
      <c r="I2" s="1840"/>
      <c r="J2" s="1840"/>
      <c r="K2" s="1841"/>
      <c r="L2" s="1840"/>
      <c r="M2" s="1840"/>
    </row>
    <row r="3" spans="1:37" ht="18" customHeight="1" thickBot="1">
      <c r="A3" s="1849" t="s">
        <v>1518</v>
      </c>
      <c r="B3" s="1850">
        <f ca="1">IF(ISERROR(B2*10000/F43),0,ROUND(B2*10000/F43,0))</f>
        <v>15398</v>
      </c>
      <c r="C3" s="1845" t="s">
        <v>1519</v>
      </c>
      <c r="D3" s="1845"/>
      <c r="E3" s="1846"/>
      <c r="F3" s="1847"/>
      <c r="G3" s="1848"/>
      <c r="H3" s="744" t="s">
        <v>1589</v>
      </c>
      <c r="I3" s="1840"/>
      <c r="J3" s="1840"/>
      <c r="K3" s="1841"/>
      <c r="L3" s="1840"/>
      <c r="M3" s="1840"/>
    </row>
    <row r="4" spans="1:37" ht="18" customHeight="1">
      <c r="A4" s="340" t="s">
        <v>1396</v>
      </c>
      <c r="B4" s="341" t="s">
        <v>1397</v>
      </c>
      <c r="C4" s="341" t="s">
        <v>1398</v>
      </c>
      <c r="D4" s="341" t="s">
        <v>1399</v>
      </c>
      <c r="E4" s="342" t="s">
        <v>1400</v>
      </c>
      <c r="F4" s="343"/>
      <c r="G4" s="1851"/>
      <c r="H4" s="340" t="s">
        <v>1396</v>
      </c>
      <c r="I4" s="341" t="s">
        <v>1397</v>
      </c>
      <c r="J4" s="341" t="s">
        <v>1398</v>
      </c>
      <c r="K4" s="341" t="s">
        <v>1399</v>
      </c>
      <c r="L4" s="342" t="s">
        <v>1400</v>
      </c>
      <c r="M4" s="343"/>
    </row>
    <row r="5" spans="1:37" ht="18" customHeight="1">
      <c r="A5" s="344">
        <v>1</v>
      </c>
      <c r="B5" s="345" t="s">
        <v>1401</v>
      </c>
      <c r="C5" s="1292">
        <f ca="1">C6+C10+C12</f>
        <v>1040</v>
      </c>
      <c r="D5" s="1822" t="s">
        <v>1402</v>
      </c>
      <c r="E5" s="1293"/>
      <c r="F5" s="1294"/>
      <c r="G5" s="1851"/>
      <c r="H5" s="344">
        <v>1</v>
      </c>
      <c r="I5" s="345" t="s">
        <v>1401</v>
      </c>
      <c r="J5" s="1292">
        <f ca="1">J6+J10+J12</f>
        <v>0</v>
      </c>
      <c r="K5" s="1822" t="s">
        <v>1402</v>
      </c>
      <c r="L5" s="1293"/>
      <c r="M5" s="1294"/>
    </row>
    <row r="6" spans="1:37" ht="18" customHeight="1">
      <c r="A6" s="1291" t="s">
        <v>1035</v>
      </c>
      <c r="B6" s="3398" t="s">
        <v>1403</v>
      </c>
      <c r="C6" s="1296">
        <f ca="1">ROUND(F6*F8*F7*(1-F9)/10000,0)</f>
        <v>1040</v>
      </c>
      <c r="D6" s="164" t="s">
        <v>3028</v>
      </c>
      <c r="E6" s="347" t="s">
        <v>1405</v>
      </c>
      <c r="F6" s="348">
        <f ca="1">INDIRECT("'数据-取费表'!u"&amp;$G$1)</f>
        <v>2</v>
      </c>
      <c r="G6" s="1851"/>
      <c r="H6" s="1291" t="s">
        <v>1035</v>
      </c>
      <c r="I6" s="3398" t="s">
        <v>1403</v>
      </c>
      <c r="J6" s="346">
        <f ca="1">ROUND(M6*M8*M7*(1-M9)/10000,0)</f>
        <v>0</v>
      </c>
      <c r="K6" s="164" t="s">
        <v>3027</v>
      </c>
      <c r="L6" s="347" t="s">
        <v>1405</v>
      </c>
      <c r="M6" s="348">
        <f ca="1">INDIRECT("'数据-取费表'!z"&amp;$G$1)</f>
        <v>0</v>
      </c>
    </row>
    <row r="7" spans="1:37" ht="18" customHeight="1">
      <c r="A7" s="1295"/>
      <c r="B7" s="3399"/>
      <c r="C7" s="1297"/>
      <c r="D7" s="352"/>
      <c r="E7" s="3002" t="s">
        <v>1406</v>
      </c>
      <c r="F7" s="348">
        <f ca="1">IF(INDIRECT("'数据-取费表'!ah"&amp;$G$1)="",INDIRECT("'数据-取费表'!k"&amp;$G$1),INDIRECT("'数据-取费表'!ah"&amp;$G$1))</f>
        <v>14993.36</v>
      </c>
      <c r="G7" s="1851"/>
      <c r="H7" s="349"/>
      <c r="I7" s="3399"/>
      <c r="J7" s="351"/>
      <c r="K7" s="352"/>
      <c r="L7" s="347" t="s">
        <v>1406</v>
      </c>
      <c r="M7" s="348">
        <f ca="1">F7</f>
        <v>14993.36</v>
      </c>
    </row>
    <row r="8" spans="1:37" ht="18" customHeight="1">
      <c r="A8" s="349"/>
      <c r="B8" s="3399"/>
      <c r="C8" s="351"/>
      <c r="D8" s="352"/>
      <c r="E8" s="347" t="s">
        <v>1407</v>
      </c>
      <c r="F8" s="348">
        <f ca="1">INDIRECT("'数据-取费表'!ai"&amp;$G$1)</f>
        <v>365</v>
      </c>
      <c r="G8" s="1851"/>
      <c r="H8" s="349"/>
      <c r="I8" s="3399"/>
      <c r="J8" s="351"/>
      <c r="K8" s="352"/>
      <c r="L8" s="347" t="s">
        <v>1407</v>
      </c>
      <c r="M8" s="348">
        <f ca="1">INDIRECT("'数据-取费表'!ai"&amp;$G$1)</f>
        <v>365</v>
      </c>
    </row>
    <row r="9" spans="1:37" ht="18" customHeight="1">
      <c r="A9" s="349"/>
      <c r="B9" s="3400"/>
      <c r="C9" s="351"/>
      <c r="D9" s="352"/>
      <c r="E9" s="347" t="s">
        <v>1408</v>
      </c>
      <c r="F9" s="357">
        <f ca="1">INDIRECT("'数据-取费表'!w"&amp;$G$1)</f>
        <v>0.05</v>
      </c>
      <c r="G9" s="1851"/>
      <c r="H9" s="349"/>
      <c r="I9" s="3400"/>
      <c r="J9" s="351"/>
      <c r="K9" s="352"/>
      <c r="L9" s="358" t="s">
        <v>1408</v>
      </c>
      <c r="M9" s="359">
        <f ca="1">INDIRECT("'数据-取费表'!ab"&amp;$G$1)</f>
        <v>0</v>
      </c>
    </row>
    <row r="10" spans="1:37" ht="18" customHeight="1">
      <c r="A10" s="1291" t="s">
        <v>1039</v>
      </c>
      <c r="B10" s="1823" t="s">
        <v>1409</v>
      </c>
      <c r="C10" s="361">
        <f ca="1">ROUND(IF(F10="押一",F6*F8*F7/12*F11,IF(F10="押二",F6*F8*F7/12*2*F11,IF(F10="押三",F6*F8*F7/12*3*F11,C11*F11)))/10000,0)</f>
        <v>0</v>
      </c>
      <c r="D10" s="1824" t="s">
        <v>3024</v>
      </c>
      <c r="E10" s="358" t="s">
        <v>1411</v>
      </c>
      <c r="F10" s="1366"/>
      <c r="G10" s="1851"/>
      <c r="H10" s="1291" t="s">
        <v>1039</v>
      </c>
      <c r="I10" s="1823" t="s">
        <v>1409</v>
      </c>
      <c r="J10" s="346">
        <f ca="1">ROUND(IF(M10="押一",M6*M8*M7/12*M11,IF(M10="押二",M6*M8*M7/12*2*M11,IF(M10="押三",M6*M8*M7/12*3*M11,J11*M11)))/10000,0)</f>
        <v>0</v>
      </c>
      <c r="K10" s="1824" t="s">
        <v>3024</v>
      </c>
      <c r="L10" s="358" t="s">
        <v>1411</v>
      </c>
      <c r="M10" s="1366" t="s">
        <v>1412</v>
      </c>
    </row>
    <row r="11" spans="1:37" ht="18" customHeight="1">
      <c r="A11" s="353"/>
      <c r="B11" s="1825" t="s">
        <v>1388</v>
      </c>
      <c r="C11" s="1178"/>
      <c r="D11" s="1826"/>
      <c r="E11" s="358" t="s">
        <v>1413</v>
      </c>
      <c r="F11" s="359">
        <f ca="1">'数据-取费表'!B39</f>
        <v>1.4999999999999999E-2</v>
      </c>
      <c r="G11" s="1851"/>
      <c r="H11" s="1299"/>
      <c r="I11" s="1825" t="s">
        <v>1388</v>
      </c>
      <c r="J11" s="1178"/>
      <c r="K11" s="748"/>
      <c r="L11" s="358" t="s">
        <v>1413</v>
      </c>
      <c r="M11" s="1056">
        <f ca="1">'数据-取费表'!B39</f>
        <v>1.4999999999999999E-2</v>
      </c>
    </row>
    <row r="12" spans="1:37" ht="18" customHeight="1" thickBot="1">
      <c r="A12" s="1333" t="s">
        <v>1075</v>
      </c>
      <c r="B12" s="1827" t="s">
        <v>1414</v>
      </c>
      <c r="C12" s="1334"/>
      <c r="D12" s="1335"/>
      <c r="E12" s="1340"/>
      <c r="F12" s="1336"/>
      <c r="G12" s="1851"/>
      <c r="H12" s="1333" t="s">
        <v>1075</v>
      </c>
      <c r="I12" s="1827" t="s">
        <v>1414</v>
      </c>
      <c r="J12" s="1334"/>
      <c r="K12" s="1348"/>
      <c r="L12" s="1340"/>
      <c r="M12" s="1349"/>
    </row>
    <row r="13" spans="1:37" ht="18" customHeight="1" thickTop="1">
      <c r="A13" s="1329">
        <v>2</v>
      </c>
      <c r="B13" s="1330" t="s">
        <v>1415</v>
      </c>
      <c r="C13" s="355">
        <f ca="1">ROUND(C29*F13,0)</f>
        <v>0</v>
      </c>
      <c r="D13" s="1331" t="s">
        <v>1416</v>
      </c>
      <c r="E13" s="1331" t="s">
        <v>1417</v>
      </c>
      <c r="F13" s="1332">
        <f ca="1">INDIRECT("'数据-取费表'!y"&amp;$G$1)</f>
        <v>0</v>
      </c>
      <c r="G13" s="1851"/>
      <c r="H13" s="1329">
        <v>2</v>
      </c>
      <c r="I13" s="1330" t="s">
        <v>1415</v>
      </c>
      <c r="J13" s="1290">
        <f ca="1">ROUND(J14*J15,0)</f>
        <v>0</v>
      </c>
      <c r="K13" s="1337" t="s">
        <v>1416</v>
      </c>
      <c r="L13" s="1852"/>
      <c r="M13" s="1853"/>
    </row>
    <row r="14" spans="1:37" ht="18" customHeight="1">
      <c r="A14" s="1201" t="s">
        <v>1034</v>
      </c>
      <c r="B14" s="347" t="s">
        <v>1418</v>
      </c>
      <c r="C14" s="363">
        <f ca="1">INDIRECT("'数据-取费表'!m"&amp;$G$1)+INDIRECT("'数据-取费表'!t"&amp;$G$1)</f>
        <v>3369</v>
      </c>
      <c r="D14" s="3005" t="s">
        <v>1419</v>
      </c>
      <c r="E14" s="3004"/>
      <c r="F14" s="364"/>
      <c r="G14" s="1851"/>
      <c r="H14" s="1201" t="s">
        <v>1035</v>
      </c>
      <c r="I14" s="347" t="s">
        <v>1420</v>
      </c>
      <c r="J14" s="24">
        <f ca="1">C29</f>
        <v>4955</v>
      </c>
      <c r="K14" s="3001"/>
      <c r="L14" s="979"/>
      <c r="M14" s="980"/>
    </row>
    <row r="15" spans="1:37" s="1858" customFormat="1" ht="18" customHeight="1" thickBot="1">
      <c r="A15" s="1201" t="s">
        <v>1036</v>
      </c>
      <c r="B15" s="347" t="s">
        <v>1421</v>
      </c>
      <c r="C15" s="24">
        <f ca="1">ROUND(C14*F15,0)</f>
        <v>101</v>
      </c>
      <c r="D15" s="365" t="s">
        <v>1422</v>
      </c>
      <c r="E15" s="365" t="s">
        <v>1423</v>
      </c>
      <c r="F15" s="366">
        <f>'数据-取费表'!B33</f>
        <v>0.03</v>
      </c>
      <c r="G15" s="1854"/>
      <c r="H15" s="1339" t="s">
        <v>1039</v>
      </c>
      <c r="I15" s="1340" t="s">
        <v>1417</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1389</v>
      </c>
      <c r="B16" s="347" t="s">
        <v>1424</v>
      </c>
      <c r="C16" s="24">
        <f ca="1">ROUND(INDIRECT("'数据-取费表'!m"&amp;$G$1)*F16,0)</f>
        <v>0</v>
      </c>
      <c r="D16" s="347" t="s">
        <v>1422</v>
      </c>
      <c r="E16" s="347" t="s">
        <v>1423</v>
      </c>
      <c r="F16" s="367">
        <f ca="1">IF(INDIRECT("'数据-取费表'!c"&amp;$G$1)="住宅",'数据-取费表'!B34,0)</f>
        <v>0</v>
      </c>
      <c r="G16" s="1851"/>
      <c r="H16" s="1329" t="s">
        <v>1030</v>
      </c>
      <c r="I16" s="1330" t="s">
        <v>1425</v>
      </c>
      <c r="J16" s="355">
        <f ca="1">ROUND(J17+J22+J23+J24,0)</f>
        <v>117</v>
      </c>
      <c r="K16" s="1337" t="s">
        <v>1426</v>
      </c>
      <c r="L16" s="3007"/>
      <c r="M16" s="1294"/>
    </row>
    <row r="17" spans="1:37" s="1858" customFormat="1" ht="18" customHeight="1">
      <c r="A17" s="1201" t="s">
        <v>1390</v>
      </c>
      <c r="B17" s="347" t="s">
        <v>1427</v>
      </c>
      <c r="C17" s="24">
        <f ca="1">ROUND(F17*(F43+INDIRECT("'数据-取费表'!S"&amp;$G$1))/10000,0)</f>
        <v>308</v>
      </c>
      <c r="D17" s="347" t="s">
        <v>1428</v>
      </c>
      <c r="E17" s="347" t="s">
        <v>1429</v>
      </c>
      <c r="F17" s="26">
        <f>'数据-取费表'!B35</f>
        <v>200</v>
      </c>
      <c r="G17" s="1854"/>
      <c r="H17" s="1201" t="s">
        <v>1035</v>
      </c>
      <c r="I17" s="347" t="s">
        <v>1430</v>
      </c>
      <c r="J17" s="24">
        <f ca="1">ROUND(IF(项目基本情况!B11="自然人",J5*M17,J18+J19+J20),1)</f>
        <v>42.2</v>
      </c>
      <c r="K17" s="3005" t="s">
        <v>1431</v>
      </c>
      <c r="L17" s="3006" t="s">
        <v>1432</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1391</v>
      </c>
      <c r="B18" s="347" t="s">
        <v>1433</v>
      </c>
      <c r="C18" s="24">
        <f ca="1">ROUND(C14*F18,0)</f>
        <v>51</v>
      </c>
      <c r="D18" s="347" t="s">
        <v>1422</v>
      </c>
      <c r="E18" s="347" t="s">
        <v>1423</v>
      </c>
      <c r="F18" s="367">
        <f>'数据-取费表'!B36</f>
        <v>1.4999999999999999E-2</v>
      </c>
      <c r="G18" s="1854"/>
      <c r="H18" s="1201" t="s">
        <v>1034</v>
      </c>
      <c r="I18" s="347" t="s">
        <v>1434</v>
      </c>
      <c r="J18" s="24">
        <f ca="1">ROUND(J5*M18/(1+'数据-取费表'!C42),2)</f>
        <v>0</v>
      </c>
      <c r="K18" s="3006" t="s">
        <v>1435</v>
      </c>
      <c r="L18" s="347" t="s">
        <v>1423</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1035</v>
      </c>
      <c r="B19" s="347" t="s">
        <v>1436</v>
      </c>
      <c r="C19" s="24">
        <f ca="1">SUM(C14:C18)</f>
        <v>3829</v>
      </c>
      <c r="D19" s="140" t="s">
        <v>1437</v>
      </c>
      <c r="E19" s="3000"/>
      <c r="F19" s="26"/>
      <c r="G19" s="1851"/>
      <c r="H19" s="1201" t="s">
        <v>1036</v>
      </c>
      <c r="I19" s="347" t="s">
        <v>1438</v>
      </c>
      <c r="J19" s="24">
        <f ca="1">IF(K19="按租金收入计税",ROUND(J5*M19,2),ROUND(C29*M19*0.7,2))</f>
        <v>41.62</v>
      </c>
      <c r="K19" s="1828" t="s">
        <v>1439</v>
      </c>
      <c r="L19" s="347" t="s">
        <v>1423</v>
      </c>
      <c r="M19" s="367">
        <f>IF(K19="按租金收入计税",'数据-取费表'!B51,'数据-取费表'!B50)</f>
        <v>1.2E-2</v>
      </c>
    </row>
    <row r="20" spans="1:37" s="1858" customFormat="1" ht="18" customHeight="1">
      <c r="A20" s="1201" t="s">
        <v>1039</v>
      </c>
      <c r="B20" s="347" t="s">
        <v>1440</v>
      </c>
      <c r="C20" s="24">
        <f ca="1">ROUND(C19*F20,0)</f>
        <v>77</v>
      </c>
      <c r="D20" s="369" t="s">
        <v>1441</v>
      </c>
      <c r="E20" s="347" t="s">
        <v>1423</v>
      </c>
      <c r="F20" s="367">
        <f>'数据-取费表'!B37</f>
        <v>0.02</v>
      </c>
      <c r="G20" s="1854"/>
      <c r="H20" s="1201" t="s">
        <v>1389</v>
      </c>
      <c r="I20" s="164" t="s">
        <v>1442</v>
      </c>
      <c r="J20" s="25">
        <f ca="1">ROUND(M20*M21/10000,2)</f>
        <v>0.61</v>
      </c>
      <c r="K20" s="370" t="s">
        <v>1443</v>
      </c>
      <c r="L20" s="347" t="s">
        <v>1444</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1075</v>
      </c>
      <c r="B21" s="347" t="s">
        <v>1445</v>
      </c>
      <c r="C21" s="24" t="s">
        <v>18</v>
      </c>
      <c r="D21" s="369" t="s">
        <v>1446</v>
      </c>
      <c r="E21" s="347" t="s">
        <v>1447</v>
      </c>
      <c r="F21" s="367">
        <f>'数据-取费表'!B38</f>
        <v>0.02</v>
      </c>
      <c r="G21" s="1854"/>
      <c r="H21" s="372"/>
      <c r="I21" s="356"/>
      <c r="J21" s="29"/>
      <c r="K21" s="373"/>
      <c r="L21" s="347" t="s">
        <v>1448</v>
      </c>
      <c r="M21" s="348">
        <f ca="1">INDIRECT("'数据-取费表'!r"&amp;$G$1)</f>
        <v>4081.64</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1392</v>
      </c>
      <c r="B22" s="347" t="s">
        <v>1449</v>
      </c>
      <c r="C22" s="24"/>
      <c r="D22" s="140" t="str">
        <f>IF(F23&lt;=1,"单利计息。","复利计息。")&amp;"建造成本、管理费用、销售费用产生的利息。"</f>
        <v>复利计息。建造成本、管理费用、销售费用产生的利息。</v>
      </c>
      <c r="E22" s="3000"/>
      <c r="F22" s="26"/>
      <c r="G22" s="1851"/>
      <c r="H22" s="1201" t="s">
        <v>1039</v>
      </c>
      <c r="I22" s="347" t="s">
        <v>1450</v>
      </c>
      <c r="J22" s="24">
        <f ca="1">ROUND(J14*M22,1)</f>
        <v>74.3</v>
      </c>
      <c r="K22" s="3006" t="s">
        <v>1451</v>
      </c>
      <c r="L22" s="347" t="s">
        <v>1423</v>
      </c>
      <c r="M22" s="374">
        <f ca="1">INDIRECT("'数据-取费表'!Ak"&amp;$G$1)</f>
        <v>1.4999999999999999E-2</v>
      </c>
    </row>
    <row r="23" spans="1:37" s="1858" customFormat="1" ht="18" customHeight="1">
      <c r="A23" s="1201" t="s">
        <v>1034</v>
      </c>
      <c r="B23" s="347" t="s">
        <v>1452</v>
      </c>
      <c r="C23" s="24">
        <f ca="1">IF('数据-取费表'!B22&lt;=1,ROUND(C19*F24*F23/2,0)+ROUND(C20*F24*F23/2,0),ROUND(C19*(POWER((1+F24),F23/2)-1),0)+ROUND(C20*(POWER((1+F24),F23/2)-1),0))</f>
        <v>282</v>
      </c>
      <c r="D23" s="375" t="str">
        <f>IF(F23&lt;=1,"(建造成本+管理费用)×利率×(建设周期÷2)","(建造成本+管理费用)×((1+利率)^(建设周期÷2)-1)")</f>
        <v>(建造成本+管理费用)×((1+利率)^(建设周期÷2)-1)</v>
      </c>
      <c r="E23" s="347" t="s">
        <v>1453</v>
      </c>
      <c r="F23" s="371">
        <f>'数据-取费表'!B20</f>
        <v>3</v>
      </c>
      <c r="G23" s="1854"/>
      <c r="H23" s="1201" t="s">
        <v>1075</v>
      </c>
      <c r="I23" s="347" t="s">
        <v>1454</v>
      </c>
      <c r="J23" s="24">
        <f ca="1">ROUND(J13*M23,1)</f>
        <v>0</v>
      </c>
      <c r="K23" s="3006" t="s">
        <v>1455</v>
      </c>
      <c r="L23" s="347" t="s">
        <v>1423</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1036</v>
      </c>
      <c r="B24" s="347" t="s">
        <v>1458</v>
      </c>
      <c r="C24" s="24">
        <f ca="1">ROUND(IF('数据-取费表'!B22&lt;=1,F21*F24*F23/2,F21*(POWER((1+F24),F23/2)-1)),4)</f>
        <v>1.4E-3</v>
      </c>
      <c r="D24" s="375" t="str">
        <f>IF(F23&lt;=1,"销售费用×利率×(建设周期÷2)","销售费用×((1+利率)^(建设周期÷2)-1)")</f>
        <v>销售费用×((1+利率)^(建设周期÷2)-1)</v>
      </c>
      <c r="E24" s="347" t="s">
        <v>1459</v>
      </c>
      <c r="F24" s="377">
        <f ca="1">'数据-取费表'!B40</f>
        <v>4.7500000000000001E-2</v>
      </c>
      <c r="G24" s="1854"/>
      <c r="H24" s="1339" t="s">
        <v>1392</v>
      </c>
      <c r="I24" s="1340" t="s">
        <v>1440</v>
      </c>
      <c r="J24" s="1341">
        <f ca="1">ROUND(J5*M24,1)</f>
        <v>0</v>
      </c>
      <c r="K24" s="1342" t="s">
        <v>1460</v>
      </c>
      <c r="L24" s="1340" t="s">
        <v>1423</v>
      </c>
      <c r="M24" s="1336">
        <f ca="1">INDIRECT("'数据-取费表'!Am"&amp;$G$1)</f>
        <v>1.4999999999999999E-2</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1461</v>
      </c>
      <c r="B25" s="347" t="s">
        <v>1462</v>
      </c>
      <c r="C25" s="24"/>
      <c r="D25" s="140" t="s">
        <v>1463</v>
      </c>
      <c r="E25" s="3000"/>
      <c r="F25" s="26"/>
      <c r="G25" s="1851"/>
      <c r="H25" s="1329" t="s">
        <v>1031</v>
      </c>
      <c r="I25" s="1344" t="s">
        <v>1464</v>
      </c>
      <c r="J25" s="355">
        <f ca="1">J5-J16</f>
        <v>-117</v>
      </c>
      <c r="K25" s="1345" t="s">
        <v>1465</v>
      </c>
      <c r="L25" s="1346"/>
      <c r="M25" s="1347"/>
    </row>
    <row r="26" spans="1:37">
      <c r="A26" s="1201" t="s">
        <v>1034</v>
      </c>
      <c r="B26" s="347" t="s">
        <v>1466</v>
      </c>
      <c r="C26" s="24">
        <f ca="1">ROUND((C19+C20)*F26,0)</f>
        <v>391</v>
      </c>
      <c r="D26" s="369" t="s">
        <v>1467</v>
      </c>
      <c r="E26" s="358" t="s">
        <v>1468</v>
      </c>
      <c r="F26" s="357">
        <f ca="1">INDIRECT("'数据-取费表'!q"&amp;$G$1)</f>
        <v>0.1</v>
      </c>
      <c r="G26" s="1851"/>
      <c r="H26" s="344" t="s">
        <v>1032</v>
      </c>
      <c r="I26" s="345" t="s">
        <v>1469</v>
      </c>
      <c r="J26" s="346">
        <f ca="1">IF(J5&lt;&gt;0,ROUND(J25*(1-((1+M28)/(1+M26))^M27)/(M26-M28),0),0)</f>
        <v>0</v>
      </c>
      <c r="K26" s="370" t="s">
        <v>1470</v>
      </c>
      <c r="L26" s="347" t="s">
        <v>1471</v>
      </c>
      <c r="M26" s="357">
        <f ca="1">INDIRECT("'数据-取费表'!I"&amp;$G$1)</f>
        <v>0.05</v>
      </c>
    </row>
    <row r="27" spans="1:37" ht="18" customHeight="1">
      <c r="A27" s="1201" t="s">
        <v>1036</v>
      </c>
      <c r="B27" s="347" t="s">
        <v>1472</v>
      </c>
      <c r="C27" s="24">
        <f ca="1">ROUND(F21*F26,4)</f>
        <v>2E-3</v>
      </c>
      <c r="D27" s="369" t="s">
        <v>1473</v>
      </c>
      <c r="E27" s="365"/>
      <c r="F27" s="366"/>
      <c r="G27" s="1851"/>
      <c r="H27" s="349"/>
      <c r="I27" s="350"/>
      <c r="J27" s="351"/>
      <c r="K27" s="378" t="s">
        <v>1474</v>
      </c>
      <c r="L27" s="347" t="s">
        <v>1475</v>
      </c>
      <c r="M27" s="379">
        <f ca="1">INDIRECT("'数据-取费表'!ag"&amp;$G$1)</f>
        <v>0</v>
      </c>
    </row>
    <row r="28" spans="1:37" s="1858" customFormat="1" ht="18" customHeight="1">
      <c r="A28" s="1201" t="s">
        <v>1037</v>
      </c>
      <c r="B28" s="347" t="s">
        <v>1476</v>
      </c>
      <c r="C28" s="24">
        <f>ROUND(F28/(1+'数据-取费表'!C42),4)</f>
        <v>5.2400000000000002E-2</v>
      </c>
      <c r="D28" s="369" t="s">
        <v>1477</v>
      </c>
      <c r="E28" s="347" t="s">
        <v>1423</v>
      </c>
      <c r="F28" s="367">
        <f>'数据-取费表'!B41</f>
        <v>5.5000000000000007E-2</v>
      </c>
      <c r="G28" s="1854"/>
      <c r="H28" s="353"/>
      <c r="I28" s="354"/>
      <c r="J28" s="355"/>
      <c r="K28" s="373"/>
      <c r="L28" s="347" t="s">
        <v>1478</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1038</v>
      </c>
      <c r="B29" s="1340" t="s">
        <v>1479</v>
      </c>
      <c r="C29" s="1341">
        <f ca="1">ROUND((C19+C20+C23+C26)/(1-F21-C24-C27-C28),0)</f>
        <v>4955</v>
      </c>
      <c r="D29" s="1342"/>
      <c r="E29" s="1340"/>
      <c r="F29" s="1343"/>
      <c r="G29" s="1854"/>
      <c r="H29" s="380" t="s">
        <v>1033</v>
      </c>
      <c r="I29" s="381" t="s">
        <v>1480</v>
      </c>
      <c r="J29" s="382">
        <f ca="1">ROUND(J26/(1+F40)^F41,0)</f>
        <v>0</v>
      </c>
      <c r="K29" s="383" t="s">
        <v>1481</v>
      </c>
      <c r="L29" s="384"/>
      <c r="M29" s="385">
        <f ca="1">INDIRECT("'数据-取费表'!k"&amp;$G$1)</f>
        <v>14993.36</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1030</v>
      </c>
      <c r="B30" s="1330" t="s">
        <v>1425</v>
      </c>
      <c r="C30" s="355">
        <f ca="1">ROUND(C31+C36+C37+C38,0)</f>
        <v>187</v>
      </c>
      <c r="D30" s="1337" t="s">
        <v>1426</v>
      </c>
      <c r="E30" s="3007"/>
      <c r="F30" s="1294"/>
      <c r="G30" s="1851"/>
      <c r="H30" s="745"/>
      <c r="I30" s="746"/>
      <c r="J30" s="747"/>
      <c r="K30" s="748"/>
      <c r="L30" s="749"/>
      <c r="M30" s="750"/>
    </row>
    <row r="31" spans="1:37" ht="18" customHeight="1">
      <c r="A31" s="1201" t="s">
        <v>1035</v>
      </c>
      <c r="B31" s="347" t="s">
        <v>1430</v>
      </c>
      <c r="C31" s="24">
        <f ca="1">ROUND(IF(项目基本情况!B11="自然人",C5*F31,C32+C33+C34),1)</f>
        <v>96.7</v>
      </c>
      <c r="D31" s="3005" t="s">
        <v>1431</v>
      </c>
      <c r="E31" s="3006" t="s">
        <v>1482</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1034</v>
      </c>
      <c r="B32" s="347" t="s">
        <v>1434</v>
      </c>
      <c r="C32" s="24">
        <f ca="1">IF(项目基本情况!B11="自然人","——",ROUND(C5*F32/(1+'数据-取费表'!C42),2))</f>
        <v>54.48</v>
      </c>
      <c r="D32" s="3006" t="s">
        <v>1435</v>
      </c>
      <c r="E32" s="347" t="s">
        <v>1423</v>
      </c>
      <c r="F32" s="377">
        <f>'数据-取费表'!B41</f>
        <v>5.5000000000000007E-2</v>
      </c>
      <c r="G32" s="1851"/>
      <c r="H32" s="745"/>
      <c r="I32" s="746"/>
      <c r="J32" s="747"/>
      <c r="K32" s="748"/>
      <c r="L32" s="749"/>
      <c r="M32" s="750"/>
    </row>
    <row r="33" spans="1:18" ht="18" customHeight="1">
      <c r="A33" s="1201" t="s">
        <v>1036</v>
      </c>
      <c r="B33" s="347" t="s">
        <v>1438</v>
      </c>
      <c r="C33" s="24">
        <f ca="1">IF(项目基本情况!B11="自然人","——",IF(D33="按租金收入计税",ROUND(C5*F33,2),IF(D33="按房产原值计税",ROUND(C29*F33*0.7,2),INDIRECT("'数据-取费表'!Aj"&amp;$G$1))))</f>
        <v>41.62</v>
      </c>
      <c r="D33" s="1828" t="s">
        <v>1439</v>
      </c>
      <c r="E33" s="347" t="s">
        <v>1423</v>
      </c>
      <c r="F33" s="367">
        <f>IF(D33="按票据","——",IF(D33="按租金收入计税",'数据-取费表'!B51,'数据-取费表'!B50))</f>
        <v>1.2E-2</v>
      </c>
      <c r="G33" s="1851"/>
      <c r="H33" s="1859"/>
      <c r="I33" s="1860"/>
      <c r="J33" s="1861"/>
      <c r="K33" s="1862"/>
      <c r="L33" s="1859"/>
      <c r="M33" s="1859"/>
    </row>
    <row r="34" spans="1:18" ht="18" customHeight="1">
      <c r="A34" s="1291" t="s">
        <v>1389</v>
      </c>
      <c r="B34" s="164" t="s">
        <v>1442</v>
      </c>
      <c r="C34" s="25">
        <f ca="1">IF(项目基本情况!B11="自然人","——",ROUND(F34*F35/10000,2))</f>
        <v>0.61</v>
      </c>
      <c r="D34" s="370" t="s">
        <v>1443</v>
      </c>
      <c r="E34" s="347" t="s">
        <v>1444</v>
      </c>
      <c r="F34" s="371">
        <f>'数据-取费表'!B52</f>
        <v>1.5</v>
      </c>
      <c r="G34" s="1851"/>
      <c r="H34" s="745"/>
      <c r="I34" s="1860"/>
      <c r="J34" s="1861"/>
      <c r="K34" s="1863"/>
      <c r="L34" s="1864"/>
      <c r="M34" s="1864"/>
    </row>
    <row r="35" spans="1:18" ht="18" customHeight="1">
      <c r="A35" s="1353"/>
      <c r="B35" s="1351"/>
      <c r="C35" s="29"/>
      <c r="D35" s="373"/>
      <c r="E35" s="347" t="s">
        <v>1448</v>
      </c>
      <c r="F35" s="348">
        <f ca="1">INDIRECT("'数据-取费表'!r"&amp;$G$1)</f>
        <v>4081.64</v>
      </c>
      <c r="G35" s="1851"/>
      <c r="H35" s="745"/>
      <c r="I35" s="1860"/>
      <c r="J35" s="1861"/>
      <c r="K35" s="1862"/>
      <c r="L35" s="1859"/>
      <c r="M35" s="1859"/>
    </row>
    <row r="36" spans="1:18" ht="18" customHeight="1">
      <c r="A36" s="1352" t="s">
        <v>1039</v>
      </c>
      <c r="B36" s="347" t="s">
        <v>1450</v>
      </c>
      <c r="C36" s="24">
        <f ca="1">ROUND(C29*F36,1)</f>
        <v>74.3</v>
      </c>
      <c r="D36" s="3006" t="s">
        <v>1483</v>
      </c>
      <c r="E36" s="347" t="s">
        <v>1423</v>
      </c>
      <c r="F36" s="374">
        <f ca="1">INDIRECT("'数据-取费表'!Ak"&amp;$G$1)</f>
        <v>1.4999999999999999E-2</v>
      </c>
      <c r="G36" s="1851"/>
      <c r="H36" s="1859"/>
      <c r="I36" s="1860"/>
      <c r="J36" s="1861"/>
      <c r="K36" s="751"/>
      <c r="L36" s="1859"/>
      <c r="M36" s="1859"/>
    </row>
    <row r="37" spans="1:18" ht="18" customHeight="1">
      <c r="A37" s="1201" t="s">
        <v>1075</v>
      </c>
      <c r="B37" s="347" t="s">
        <v>1454</v>
      </c>
      <c r="C37" s="24">
        <f ca="1">ROUND(C13*F37,1)</f>
        <v>0</v>
      </c>
      <c r="D37" s="3006" t="s">
        <v>1455</v>
      </c>
      <c r="E37" s="347" t="s">
        <v>1423</v>
      </c>
      <c r="F37" s="376">
        <f ca="1">INDIRECT("'数据-取费表'!Al"&amp;$G$1)</f>
        <v>1.5E-3</v>
      </c>
      <c r="G37" s="1851"/>
      <c r="H37" s="1859"/>
      <c r="I37" s="1860"/>
      <c r="J37" s="1861"/>
      <c r="K37" s="751"/>
      <c r="L37" s="1859"/>
      <c r="M37" s="1859"/>
    </row>
    <row r="38" spans="1:18" ht="18" customHeight="1" thickBot="1">
      <c r="A38" s="1339" t="s">
        <v>1392</v>
      </c>
      <c r="B38" s="1340" t="s">
        <v>1440</v>
      </c>
      <c r="C38" s="1341">
        <f ca="1">ROUND(C5*F38,1)</f>
        <v>15.6</v>
      </c>
      <c r="D38" s="1342" t="s">
        <v>1460</v>
      </c>
      <c r="E38" s="1340" t="s">
        <v>1423</v>
      </c>
      <c r="F38" s="1336">
        <f ca="1">INDIRECT("'数据-取费表'!Am"&amp;$G$1)</f>
        <v>1.4999999999999999E-2</v>
      </c>
      <c r="G38" s="1851"/>
      <c r="H38" s="1859"/>
      <c r="I38" s="1860"/>
      <c r="J38" s="1861"/>
      <c r="K38" s="1865"/>
      <c r="L38" s="1859"/>
      <c r="M38" s="1859"/>
    </row>
    <row r="39" spans="1:18" ht="24.6" customHeight="1" thickTop="1">
      <c r="A39" s="1329" t="s">
        <v>1031</v>
      </c>
      <c r="B39" s="1344" t="s">
        <v>1464</v>
      </c>
      <c r="C39" s="355">
        <f ca="1">C5-C30</f>
        <v>853</v>
      </c>
      <c r="D39" s="1345" t="s">
        <v>1465</v>
      </c>
      <c r="E39" s="1346"/>
      <c r="F39" s="1347"/>
      <c r="G39" s="1851"/>
      <c r="H39" s="1859"/>
      <c r="I39" s="1860"/>
      <c r="J39" s="1861"/>
      <c r="K39" s="1865"/>
      <c r="L39" s="1859"/>
      <c r="M39" s="1859"/>
    </row>
    <row r="40" spans="1:18" ht="18" customHeight="1">
      <c r="A40" s="344" t="s">
        <v>1032</v>
      </c>
      <c r="B40" s="345" t="s">
        <v>1486</v>
      </c>
      <c r="C40" s="346">
        <f ca="1">ROUND(C39*(1-((1+F42)/(1+F40))^F41)/(F40-F42),0)</f>
        <v>23087</v>
      </c>
      <c r="D40" s="370" t="s">
        <v>1470</v>
      </c>
      <c r="E40" s="347" t="s">
        <v>1471</v>
      </c>
      <c r="F40" s="357">
        <f ca="1">INDIRECT("'数据-取费表'!I"&amp;$G$1)</f>
        <v>0.05</v>
      </c>
      <c r="G40" s="1851"/>
      <c r="H40" s="1839"/>
      <c r="I40" s="1860"/>
      <c r="J40" s="1861"/>
      <c r="K40" s="1865"/>
      <c r="L40" s="1839"/>
      <c r="M40" s="1839"/>
    </row>
    <row r="41" spans="1:18" ht="18" customHeight="1">
      <c r="A41" s="349"/>
      <c r="B41" s="350"/>
      <c r="C41" s="351"/>
      <c r="D41" s="378" t="s">
        <v>1487</v>
      </c>
      <c r="E41" s="347" t="s">
        <v>1475</v>
      </c>
      <c r="F41" s="379">
        <f ca="1">IF(INDIRECT("'数据-取费表'!af"&amp;$G$1)=0,INDIRECT("'数据-取费表'!ae"&amp;$G$1),INDIRECT("'数据-取费表'!af"&amp;$G$1))</f>
        <v>46.85</v>
      </c>
      <c r="G41" s="1851"/>
      <c r="H41" s="732"/>
      <c r="I41" s="1860"/>
      <c r="J41" s="1861"/>
      <c r="K41" s="751"/>
      <c r="L41" s="732"/>
      <c r="M41" s="732"/>
    </row>
    <row r="42" spans="1:18" ht="18" customHeight="1">
      <c r="A42" s="353"/>
      <c r="B42" s="354"/>
      <c r="C42" s="355"/>
      <c r="D42" s="373"/>
      <c r="E42" s="347" t="s">
        <v>1478</v>
      </c>
      <c r="F42" s="357">
        <f ca="1">INDIRECT("'数据-取费表'!v"&amp;$G$1)</f>
        <v>2.5000000000000001E-2</v>
      </c>
      <c r="G42" s="1851"/>
      <c r="H42" s="732"/>
      <c r="I42" s="1860"/>
      <c r="J42" s="1861"/>
      <c r="K42" s="751"/>
      <c r="L42" s="732"/>
      <c r="M42" s="732"/>
    </row>
    <row r="43" spans="1:18" ht="18" customHeight="1" thickBot="1">
      <c r="A43" s="380" t="s">
        <v>1033</v>
      </c>
      <c r="B43" s="381" t="s">
        <v>1488</v>
      </c>
      <c r="C43" s="382">
        <f ca="1">ROUND(C40*10000/F43,0)</f>
        <v>15398</v>
      </c>
      <c r="D43" s="383" t="s">
        <v>1489</v>
      </c>
      <c r="E43" s="384" t="s">
        <v>1490</v>
      </c>
      <c r="F43" s="385">
        <f ca="1">INDIRECT("'数据-取费表'!k"&amp;$G$1)</f>
        <v>14993.36</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1520</v>
      </c>
      <c r="P45" s="1839"/>
      <c r="Q45" s="1839"/>
      <c r="R45" s="1839"/>
    </row>
    <row r="46" spans="1:18" s="1842" customFormat="1" ht="13.5" thickBot="1">
      <c r="A46" s="1870" t="s">
        <v>1521</v>
      </c>
      <c r="C46" s="1871">
        <f ca="1">C68-C40</f>
        <v>-25189</v>
      </c>
      <c r="D46" s="1872" t="str">
        <f>C2</f>
        <v>万元</v>
      </c>
      <c r="E46" s="1866"/>
      <c r="F46" s="1866"/>
      <c r="I46" s="1873" t="s">
        <v>1522</v>
      </c>
      <c r="J46" s="1874"/>
      <c r="K46" s="1875"/>
      <c r="L46" s="1876" t="str">
        <f ca="1">IF(M47="住宅",0,IF(L48&gt;J51,L60,J60))</f>
        <v>0</v>
      </c>
      <c r="O46" s="1877" t="s">
        <v>1523</v>
      </c>
      <c r="P46" s="1878" t="s">
        <v>1524</v>
      </c>
      <c r="Q46" s="1879" t="s">
        <v>1525</v>
      </c>
      <c r="R46" s="1879" t="s">
        <v>1526</v>
      </c>
    </row>
    <row r="47" spans="1:18" s="1842" customFormat="1" ht="13.5" thickBot="1">
      <c r="A47" s="1165" t="s">
        <v>1396</v>
      </c>
      <c r="B47" s="1197" t="s">
        <v>1397</v>
      </c>
      <c r="C47" s="1367" t="s">
        <v>1398</v>
      </c>
      <c r="D47" s="1197" t="s">
        <v>1399</v>
      </c>
      <c r="E47" s="1279" t="s">
        <v>1400</v>
      </c>
      <c r="F47" s="1280"/>
      <c r="G47" s="792"/>
      <c r="I47" s="1880" t="s">
        <v>1527</v>
      </c>
      <c r="J47" s="1881" t="s">
        <v>3169</v>
      </c>
      <c r="K47" s="1882" t="s">
        <v>1528</v>
      </c>
      <c r="L47" s="1883">
        <f ca="1">INDIRECT("'数据-取费表'!d"&amp;$G$1)</f>
        <v>50</v>
      </c>
      <c r="M47" s="1838" t="str">
        <f>IF(ISNUMBER(FIND("住宅",C1)),"住宅","非住宅")</f>
        <v>非住宅</v>
      </c>
      <c r="O47" s="1884" t="s">
        <v>1040</v>
      </c>
      <c r="P47" s="1885" t="s">
        <v>1529</v>
      </c>
      <c r="Q47" s="1886">
        <f ca="1">C40+J29</f>
        <v>23087</v>
      </c>
      <c r="R47" s="1886" t="s">
        <v>1530</v>
      </c>
    </row>
    <row r="48" spans="1:18" s="1842" customFormat="1" ht="28.5" thickBot="1">
      <c r="A48" s="1360" t="s">
        <v>1135</v>
      </c>
      <c r="B48" s="345" t="s">
        <v>1401</v>
      </c>
      <c r="C48" s="2999">
        <f ca="1">C49+C53+C55</f>
        <v>0</v>
      </c>
      <c r="D48" s="1362"/>
      <c r="E48" s="1363"/>
      <c r="F48" s="1181"/>
      <c r="G48" s="792"/>
      <c r="H48" s="793"/>
      <c r="I48" s="1887" t="s">
        <v>1531</v>
      </c>
      <c r="J48" s="1888" t="s">
        <v>3170</v>
      </c>
      <c r="K48" s="1889" t="s">
        <v>1532</v>
      </c>
      <c r="L48" s="1890">
        <f ca="1">INDIRECT("'数据-取费表'!f"&amp;$G$1)</f>
        <v>47.95</v>
      </c>
      <c r="O48" s="1884" t="s">
        <v>1041</v>
      </c>
      <c r="P48" s="1885" t="s">
        <v>1533</v>
      </c>
      <c r="Q48" s="1886" t="str">
        <f ca="1">J60</f>
        <v>0</v>
      </c>
      <c r="R48" s="1886" t="s">
        <v>1534</v>
      </c>
    </row>
    <row r="49" spans="1:18" s="1842" customFormat="1" ht="13.5" thickBot="1">
      <c r="A49" s="1194" t="s">
        <v>1136</v>
      </c>
      <c r="B49" s="1829" t="s">
        <v>1491</v>
      </c>
      <c r="C49" s="1364">
        <f ca="1">ROUND(F49*F51*F50*(1-F52)/10000,0)</f>
        <v>0</v>
      </c>
      <c r="D49" s="1276" t="s">
        <v>3027</v>
      </c>
      <c r="E49" s="1830" t="s">
        <v>1492</v>
      </c>
      <c r="F49" s="1281"/>
      <c r="G49" s="1891"/>
      <c r="H49" s="793"/>
      <c r="I49" s="1887" t="s">
        <v>1535</v>
      </c>
      <c r="J49" s="1892">
        <v>2018</v>
      </c>
      <c r="K49" s="1889" t="s">
        <v>1536</v>
      </c>
      <c r="L49" s="1893"/>
      <c r="O49" s="1894" t="s">
        <v>1042</v>
      </c>
      <c r="P49" s="1885" t="s">
        <v>1537</v>
      </c>
      <c r="Q49" s="1886">
        <f ca="1">C29</f>
        <v>4955</v>
      </c>
      <c r="R49" s="1886" t="s">
        <v>1530</v>
      </c>
    </row>
    <row r="50" spans="1:18" s="1842" customFormat="1" ht="13.5" thickBot="1">
      <c r="A50" s="1195"/>
      <c r="B50" s="1198"/>
      <c r="C50" s="1368"/>
      <c r="D50" s="1172"/>
      <c r="E50" s="1277" t="s">
        <v>1406</v>
      </c>
      <c r="F50" s="1278">
        <f ca="1">F7</f>
        <v>14993.36</v>
      </c>
      <c r="H50" s="793"/>
      <c r="I50" s="1887" t="s">
        <v>1538</v>
      </c>
      <c r="J50" s="1895">
        <f>SUMPRODUCT((I63:I65=J47)*(J62:L62=J48)*(J63:L65))</f>
        <v>60</v>
      </c>
      <c r="K50" s="1889" t="s">
        <v>1539</v>
      </c>
      <c r="L50" s="1893"/>
      <c r="M50" s="1896"/>
      <c r="O50" s="1894" t="s">
        <v>1043</v>
      </c>
      <c r="P50" s="1885" t="s">
        <v>1540</v>
      </c>
      <c r="Q50" s="1897" t="e">
        <f ca="1">J58</f>
        <v>#VALUE!</v>
      </c>
      <c r="R50" s="1886"/>
    </row>
    <row r="51" spans="1:18" s="1842" customFormat="1" ht="13.5" thickBot="1">
      <c r="A51" s="1196"/>
      <c r="B51" s="1198"/>
      <c r="C51" s="1199"/>
      <c r="D51" s="1172"/>
      <c r="E51" s="1200" t="s">
        <v>1407</v>
      </c>
      <c r="F51" s="348">
        <f ca="1">F8</f>
        <v>365</v>
      </c>
      <c r="I51" s="1898" t="s">
        <v>1541</v>
      </c>
      <c r="J51" s="1899">
        <f>IF(J49="",J50,J49+J50-YEAR('数据-取费表'!B2))</f>
        <v>60</v>
      </c>
      <c r="K51" s="1900" t="s">
        <v>1542</v>
      </c>
      <c r="L51" s="1901">
        <f ca="1">ROUND(-PV(INDIRECT("'数据-取费表'!h"&amp;$G$1),L48,(C39-C13*C76),0),0)</f>
        <v>18073</v>
      </c>
      <c r="M51" s="1902"/>
      <c r="O51" s="1894" t="s">
        <v>1044</v>
      </c>
      <c r="P51" s="1885" t="s">
        <v>1543</v>
      </c>
      <c r="Q51" s="1897">
        <f>J52</f>
        <v>0.09</v>
      </c>
      <c r="R51" s="1886"/>
    </row>
    <row r="52" spans="1:18" s="1842" customFormat="1" ht="13.5" thickBot="1">
      <c r="A52" s="1196"/>
      <c r="B52" s="1198"/>
      <c r="C52" s="1199"/>
      <c r="D52" s="1172"/>
      <c r="E52" s="1200" t="s">
        <v>1408</v>
      </c>
      <c r="F52" s="1275"/>
      <c r="I52" s="1903" t="s">
        <v>1544</v>
      </c>
      <c r="J52" s="1904">
        <v>0.09</v>
      </c>
      <c r="K52" s="1903" t="s">
        <v>1545</v>
      </c>
      <c r="L52" s="1904"/>
      <c r="O52" s="1894" t="s">
        <v>1045</v>
      </c>
      <c r="P52" s="1885" t="s">
        <v>1546</v>
      </c>
      <c r="Q52" s="1886">
        <f ca="1">J53</f>
        <v>46.85</v>
      </c>
      <c r="R52" s="1886" t="s">
        <v>1547</v>
      </c>
    </row>
    <row r="53" spans="1:18" s="1842" customFormat="1" ht="24.75" thickBot="1">
      <c r="A53" s="1405" t="s">
        <v>1137</v>
      </c>
      <c r="B53" s="1831" t="s">
        <v>1409</v>
      </c>
      <c r="C53" s="361">
        <f ca="1">ROUND(IF(F53="押一",F49*F51*F50/12*F11,IF(F53="押二",F49*F51*F50/12*2*F11,IF(F53="押三",F49*F51*F50/12*3*F11,C54*F11)))/10000,0)</f>
        <v>0</v>
      </c>
      <c r="D53" s="1824" t="s">
        <v>3024</v>
      </c>
      <c r="E53" s="358" t="s">
        <v>1411</v>
      </c>
      <c r="F53" s="1366"/>
      <c r="I53" s="1905" t="s">
        <v>1548</v>
      </c>
      <c r="J53" s="1906">
        <f ca="1">IF(M47="住宅",J51,IF(D1="——",MIN(J51,L48),IF(D1="在建（套用方法）",MIN(J51,L48-'数据-取费表'!B24),IF(D1="土地（套用方法）",MIN(J51,L48-'数据-取费表'!B20)))))</f>
        <v>46.85</v>
      </c>
      <c r="K53" s="3396" t="s">
        <v>1549</v>
      </c>
      <c r="L53" s="3397"/>
      <c r="O53" s="1884" t="s">
        <v>1046</v>
      </c>
      <c r="P53" s="1885" t="s">
        <v>1550</v>
      </c>
      <c r="Q53" s="1886">
        <f ca="1">Q47+Q48</f>
        <v>23087</v>
      </c>
      <c r="R53" s="1886" t="s">
        <v>1047</v>
      </c>
    </row>
    <row r="54" spans="1:18" s="1842" customFormat="1" ht="13.5" thickBot="1">
      <c r="A54" s="1406"/>
      <c r="B54" s="1825" t="s">
        <v>1388</v>
      </c>
      <c r="C54" s="1178"/>
      <c r="D54" s="1824"/>
      <c r="E54" s="3003"/>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1551</v>
      </c>
      <c r="P54" s="1839"/>
      <c r="Q54" s="1839"/>
      <c r="R54" s="1839"/>
    </row>
    <row r="55" spans="1:18" s="1842" customFormat="1" ht="13.5" thickBot="1">
      <c r="A55" s="1333" t="s">
        <v>1075</v>
      </c>
      <c r="B55" s="1827" t="s">
        <v>1414</v>
      </c>
      <c r="C55" s="1334"/>
      <c r="D55" s="1824"/>
      <c r="E55" s="3003"/>
      <c r="F55" s="1907"/>
      <c r="I55" s="1910" t="s">
        <v>1552</v>
      </c>
      <c r="J55" s="1911" t="e">
        <f ca="1">ROUND(IF(J47="钢混",J57/J50,1-(1-2%)*(J50-J57)/J50),3)</f>
        <v>#VALUE!</v>
      </c>
      <c r="K55" s="1912" t="s">
        <v>1553</v>
      </c>
      <c r="L55" s="1913" t="s">
        <v>1554</v>
      </c>
      <c r="O55" s="1877" t="s">
        <v>1523</v>
      </c>
      <c r="P55" s="1878" t="s">
        <v>1524</v>
      </c>
      <c r="Q55" s="1879" t="s">
        <v>1525</v>
      </c>
      <c r="R55" s="1879" t="s">
        <v>1526</v>
      </c>
    </row>
    <row r="56" spans="1:18" s="1842" customFormat="1" ht="25.5" thickTop="1" thickBot="1">
      <c r="A56" s="1176">
        <v>2</v>
      </c>
      <c r="B56" s="1177" t="s">
        <v>1415</v>
      </c>
      <c r="C56" s="276">
        <f ca="1">C13</f>
        <v>0</v>
      </c>
      <c r="D56" s="1914"/>
      <c r="E56" s="1915"/>
      <c r="F56" s="1907"/>
      <c r="I56" s="1916" t="s">
        <v>1555</v>
      </c>
      <c r="J56" s="1917" t="s">
        <v>3145</v>
      </c>
      <c r="K56" s="1887" t="s">
        <v>1556</v>
      </c>
      <c r="L56" s="1890" t="str">
        <f ca="1">IF(L48&lt;J51,"——",L48-J53)</f>
        <v>——</v>
      </c>
      <c r="O56" s="1884" t="s">
        <v>1040</v>
      </c>
      <c r="P56" s="1885" t="s">
        <v>1529</v>
      </c>
      <c r="Q56" s="1886">
        <f ca="1">C40+J29</f>
        <v>23087</v>
      </c>
      <c r="R56" s="1886" t="s">
        <v>1530</v>
      </c>
    </row>
    <row r="57" spans="1:18" s="1842" customFormat="1" ht="24.75" thickBot="1">
      <c r="A57" s="1918"/>
      <c r="B57" s="1169" t="s">
        <v>1479</v>
      </c>
      <c r="C57" s="282">
        <f ca="1">C29</f>
        <v>4955</v>
      </c>
      <c r="D57" s="1919"/>
      <c r="E57" s="1920"/>
      <c r="F57" s="1921"/>
      <c r="I57" s="1922" t="s">
        <v>1557</v>
      </c>
      <c r="J57" s="1923" t="str">
        <f ca="1">IF(OR(M47="住宅",J51&lt;L48,J56="是"),"——",J51-L48)</f>
        <v>——</v>
      </c>
      <c r="K57" s="1887" t="s">
        <v>1558</v>
      </c>
      <c r="L57" s="1890" t="str">
        <f ca="1">IF(L48&lt;J51,"——",IF(L55="比较法",L49,IF(L55="基准地价",L50,L51)))</f>
        <v>——</v>
      </c>
      <c r="O57" s="1884" t="s">
        <v>1041</v>
      </c>
      <c r="P57" s="1885" t="s">
        <v>1559</v>
      </c>
      <c r="Q57" s="1886">
        <f ca="1">L60</f>
        <v>0</v>
      </c>
      <c r="R57" s="1886" t="s">
        <v>1560</v>
      </c>
    </row>
    <row r="58" spans="1:18" s="1842" customFormat="1" ht="24.75" thickBot="1">
      <c r="A58" s="360" t="s">
        <v>1030</v>
      </c>
      <c r="B58" s="1177" t="s">
        <v>1425</v>
      </c>
      <c r="C58" s="361">
        <f ca="1">ROUND(C59+C64+C65+C66,0)</f>
        <v>117</v>
      </c>
      <c r="D58" s="1179" t="s">
        <v>1426</v>
      </c>
      <c r="E58" s="1180"/>
      <c r="F58" s="1181"/>
      <c r="I58" s="1922" t="s">
        <v>1561</v>
      </c>
      <c r="J58" s="1924" t="e">
        <f ca="1">IF(J55&lt;0.4,0.4,J55)</f>
        <v>#VALUE!</v>
      </c>
      <c r="K58" s="1900" t="s">
        <v>1562</v>
      </c>
      <c r="L58" s="1890" t="e">
        <f ca="1">ROUND(POWER(1+L52,L47-L48)*(POWER(1+L52,L48)-1)/(POWER(1+L52,L47)-1),4)</f>
        <v>#DIV/0!</v>
      </c>
      <c r="O58" s="1894" t="s">
        <v>1042</v>
      </c>
      <c r="P58" s="1885" t="s">
        <v>1563</v>
      </c>
      <c r="Q58" s="1886">
        <f>IF(L55="比较法",L49,IF(L55="基准地价",L50,0))</f>
        <v>0</v>
      </c>
      <c r="R58" s="1886" t="s">
        <v>1530</v>
      </c>
    </row>
    <row r="59" spans="1:18" s="1842" customFormat="1" ht="24.75" thickBot="1">
      <c r="A59" s="1201" t="s">
        <v>1035</v>
      </c>
      <c r="B59" s="1169" t="s">
        <v>1430</v>
      </c>
      <c r="C59" s="24">
        <f ca="1">ROUND(IF(项目基本情况!B11="自然人",C48*F59,C60+C61+C62),1)</f>
        <v>42.2</v>
      </c>
      <c r="D59" s="1182" t="s">
        <v>1431</v>
      </c>
      <c r="E59" s="1183" t="s">
        <v>1432</v>
      </c>
      <c r="F59" s="368" t="str">
        <f ca="1">IF(项目基本情况!B11="企业","",IF(INDIRECT("'数据-取费表'!c"&amp;$G$1)="住宅",5%,IF(F49*F50*F51/12/(1+'数据-取费表'!C42)&gt;20000,12%,7%)))</f>
        <v/>
      </c>
      <c r="I59" s="1922" t="s">
        <v>1564</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1043</v>
      </c>
      <c r="P59" s="1885" t="s">
        <v>1565</v>
      </c>
      <c r="Q59" s="1897">
        <f>L52</f>
        <v>0</v>
      </c>
      <c r="R59" s="1886"/>
    </row>
    <row r="60" spans="1:18" s="1842" customFormat="1" ht="16.5" thickBot="1">
      <c r="A60" s="1201" t="s">
        <v>1034</v>
      </c>
      <c r="B60" s="1169" t="s">
        <v>1434</v>
      </c>
      <c r="C60" s="24">
        <f ca="1">IF(项目基本情况!B11="自然人","——",ROUND(C48*F60/(1+'数据-取费表'!C42),2))</f>
        <v>0</v>
      </c>
      <c r="D60" s="1183" t="s">
        <v>1435</v>
      </c>
      <c r="E60" s="1169" t="s">
        <v>1423</v>
      </c>
      <c r="F60" s="377">
        <f t="shared" ref="F60:F66" si="0">F32</f>
        <v>5.5000000000000007E-2</v>
      </c>
      <c r="I60" s="1925" t="s">
        <v>1566</v>
      </c>
      <c r="J60" s="1926" t="str">
        <f ca="1">IF(OR(M47="住宅",J51&lt;L48,J56="是"),"0",ROUND(J59/(1+J52)^J53,0))</f>
        <v>0</v>
      </c>
      <c r="K60" s="1927" t="s">
        <v>1567</v>
      </c>
      <c r="L60" s="1926">
        <f ca="1">IF(OR(M47="住宅",L48&lt;J51),0,ROUND(L57*(L58/L59-1),0))</f>
        <v>0</v>
      </c>
      <c r="O60" s="1894" t="s">
        <v>1044</v>
      </c>
      <c r="P60" s="1885" t="s">
        <v>1568</v>
      </c>
      <c r="Q60" s="1886" t="e">
        <f ca="1">L58</f>
        <v>#DIV/0!</v>
      </c>
      <c r="R60" s="1886" t="s">
        <v>1569</v>
      </c>
    </row>
    <row r="61" spans="1:18" s="1842" customFormat="1" ht="13.5" thickBot="1">
      <c r="A61" s="1201" t="s">
        <v>1493</v>
      </c>
      <c r="B61" s="1169" t="s">
        <v>1438</v>
      </c>
      <c r="C61" s="24">
        <f ca="1">IF(项目基本情况!B11="自然人","——",IF(D61="按租金收入计税",ROUND(C48*F61,2),IF(D61="按房产原值计税",ROUND(C57*F61*0.7,2),INDIRECT("'数据-取费表'!Aj"&amp;$G$1))))</f>
        <v>41.62</v>
      </c>
      <c r="D61" s="1828" t="s">
        <v>1439</v>
      </c>
      <c r="E61" s="1169" t="s">
        <v>1423</v>
      </c>
      <c r="F61" s="367">
        <f t="shared" si="0"/>
        <v>1.2E-2</v>
      </c>
      <c r="I61" s="1928"/>
      <c r="J61" s="1928"/>
      <c r="K61" s="1928"/>
      <c r="L61" s="1928"/>
      <c r="O61" s="1894" t="s">
        <v>1045</v>
      </c>
      <c r="P61" s="1885" t="str">
        <f>K59</f>
        <v>续建工期及建筑物耐用年限下的土地年期修正系数Kn</v>
      </c>
      <c r="Q61" s="1886" t="e">
        <f ca="1">L59</f>
        <v>#DIV/0!</v>
      </c>
      <c r="R61" s="1886" t="s">
        <v>1570</v>
      </c>
    </row>
    <row r="62" spans="1:18" s="1842" customFormat="1" ht="13.5" thickBot="1">
      <c r="A62" s="1201" t="s">
        <v>1496</v>
      </c>
      <c r="B62" s="1168" t="s">
        <v>1442</v>
      </c>
      <c r="C62" s="25">
        <f ca="1">IF(项目基本情况!B11="自然人","——",ROUND(F62*F63/10000,2))</f>
        <v>0.61</v>
      </c>
      <c r="D62" s="1184" t="s">
        <v>1443</v>
      </c>
      <c r="E62" s="1169" t="s">
        <v>1444</v>
      </c>
      <c r="F62" s="371">
        <f t="shared" si="0"/>
        <v>1.5</v>
      </c>
      <c r="I62" s="1929" t="s">
        <v>1571</v>
      </c>
      <c r="J62" s="1930" t="s">
        <v>1572</v>
      </c>
      <c r="K62" s="1930" t="s">
        <v>1573</v>
      </c>
      <c r="L62" s="1930" t="s">
        <v>1574</v>
      </c>
      <c r="M62" s="1931" t="s">
        <v>1575</v>
      </c>
      <c r="O62" s="1884" t="s">
        <v>1046</v>
      </c>
      <c r="P62" s="1885" t="s">
        <v>1550</v>
      </c>
      <c r="Q62" s="1886">
        <f ca="1">Q56+Q57</f>
        <v>23087</v>
      </c>
      <c r="R62" s="1886" t="s">
        <v>1047</v>
      </c>
    </row>
    <row r="63" spans="1:18" s="1842" customFormat="1" ht="13.5" thickBot="1">
      <c r="A63" s="372"/>
      <c r="B63" s="1175"/>
      <c r="C63" s="29"/>
      <c r="D63" s="1185"/>
      <c r="E63" s="1169" t="s">
        <v>1448</v>
      </c>
      <c r="F63" s="348">
        <f t="shared" ca="1" si="0"/>
        <v>4081.64</v>
      </c>
      <c r="I63" s="1929" t="s">
        <v>1577</v>
      </c>
      <c r="J63" s="1930">
        <v>70</v>
      </c>
      <c r="K63" s="1930">
        <v>50</v>
      </c>
      <c r="L63" s="1930">
        <v>80</v>
      </c>
      <c r="M63" s="1932">
        <v>0.02</v>
      </c>
      <c r="O63" s="1869" t="s">
        <v>1578</v>
      </c>
      <c r="P63" s="1839"/>
      <c r="Q63" s="1839"/>
      <c r="R63" s="1839"/>
    </row>
    <row r="64" spans="1:18" s="1842" customFormat="1" ht="13.5" thickBot="1">
      <c r="A64" s="1201" t="s">
        <v>1039</v>
      </c>
      <c r="B64" s="1169" t="s">
        <v>1450</v>
      </c>
      <c r="C64" s="24">
        <f ca="1">ROUND(C57*F64,1)</f>
        <v>74.3</v>
      </c>
      <c r="D64" s="1183" t="s">
        <v>1483</v>
      </c>
      <c r="E64" s="1169" t="s">
        <v>1423</v>
      </c>
      <c r="F64" s="374">
        <f t="shared" ca="1" si="0"/>
        <v>1.4999999999999999E-2</v>
      </c>
      <c r="I64" s="1929" t="s">
        <v>1579</v>
      </c>
      <c r="J64" s="1930">
        <v>50</v>
      </c>
      <c r="K64" s="1930">
        <v>35</v>
      </c>
      <c r="L64" s="1930">
        <v>60</v>
      </c>
      <c r="M64" s="1931">
        <v>0</v>
      </c>
      <c r="O64" s="1877" t="s">
        <v>1523</v>
      </c>
      <c r="P64" s="1878" t="s">
        <v>1524</v>
      </c>
      <c r="Q64" s="1879" t="s">
        <v>1525</v>
      </c>
      <c r="R64" s="1879" t="s">
        <v>1526</v>
      </c>
    </row>
    <row r="65" spans="1:18" s="1842" customFormat="1" ht="13.5" thickBot="1">
      <c r="A65" s="1201" t="s">
        <v>1504</v>
      </c>
      <c r="B65" s="1169" t="s">
        <v>1454</v>
      </c>
      <c r="C65" s="24">
        <f ca="1">ROUND(C56*F65,1)</f>
        <v>0</v>
      </c>
      <c r="D65" s="1183" t="s">
        <v>1455</v>
      </c>
      <c r="E65" s="1169" t="s">
        <v>1423</v>
      </c>
      <c r="F65" s="376">
        <f t="shared" ca="1" si="0"/>
        <v>1.5E-3</v>
      </c>
      <c r="I65" s="1929" t="s">
        <v>1580</v>
      </c>
      <c r="J65" s="1930">
        <v>40</v>
      </c>
      <c r="K65" s="1930">
        <v>30</v>
      </c>
      <c r="L65" s="1930">
        <v>50</v>
      </c>
      <c r="M65" s="1932">
        <v>0.02</v>
      </c>
      <c r="O65" s="1884" t="s">
        <v>1040</v>
      </c>
      <c r="P65" s="1885" t="s">
        <v>1529</v>
      </c>
      <c r="Q65" s="1886">
        <f ca="1">C40+J29</f>
        <v>23087</v>
      </c>
      <c r="R65" s="1886" t="s">
        <v>1530</v>
      </c>
    </row>
    <row r="66" spans="1:18" s="1842" customFormat="1" ht="16.5" thickBot="1">
      <c r="A66" s="1201" t="s">
        <v>1505</v>
      </c>
      <c r="B66" s="1169" t="s">
        <v>1440</v>
      </c>
      <c r="C66" s="24">
        <f ca="1">ROUND(C48*F66,1)</f>
        <v>0</v>
      </c>
      <c r="D66" s="1183" t="s">
        <v>1460</v>
      </c>
      <c r="E66" s="1169" t="s">
        <v>1423</v>
      </c>
      <c r="F66" s="357">
        <f t="shared" ca="1" si="0"/>
        <v>1.4999999999999999E-2</v>
      </c>
      <c r="O66" s="1884" t="s">
        <v>1041</v>
      </c>
      <c r="P66" s="1885" t="s">
        <v>1559</v>
      </c>
      <c r="Q66" s="1886">
        <f ca="1">L60</f>
        <v>0</v>
      </c>
      <c r="R66" s="1886" t="s">
        <v>1582</v>
      </c>
    </row>
    <row r="67" spans="1:18" s="1842" customFormat="1" ht="16.5" thickBot="1">
      <c r="A67" s="1176" t="s">
        <v>1031</v>
      </c>
      <c r="B67" s="1186" t="s">
        <v>1464</v>
      </c>
      <c r="C67" s="361">
        <f ca="1">C48-C58</f>
        <v>-117</v>
      </c>
      <c r="D67" s="1182" t="s">
        <v>1465</v>
      </c>
      <c r="E67" s="1187"/>
      <c r="F67" s="1188"/>
      <c r="O67" s="1894" t="s">
        <v>1042</v>
      </c>
      <c r="P67" s="1885" t="s">
        <v>1563</v>
      </c>
      <c r="Q67" s="1933">
        <f ca="1">L51</f>
        <v>18073</v>
      </c>
      <c r="R67" s="1886" t="s">
        <v>1583</v>
      </c>
    </row>
    <row r="68" spans="1:18" s="1842" customFormat="1" ht="16.5" thickBot="1">
      <c r="A68" s="1166" t="s">
        <v>1032</v>
      </c>
      <c r="B68" s="1167" t="s">
        <v>1486</v>
      </c>
      <c r="C68" s="346">
        <f ca="1">ROUND(C67*(1-((1+F70)/(1+F68))^F69)/(F68-F70),0)</f>
        <v>-2102</v>
      </c>
      <c r="D68" s="1184" t="s">
        <v>1470</v>
      </c>
      <c r="E68" s="1169" t="s">
        <v>1471</v>
      </c>
      <c r="F68" s="357">
        <f ca="1">F40</f>
        <v>0.05</v>
      </c>
      <c r="O68" s="1894" t="s">
        <v>1043</v>
      </c>
      <c r="P68" s="1934" t="s">
        <v>1584</v>
      </c>
      <c r="Q68" s="1886">
        <f ca="1">ROUND(Q69-Q70*Q71,0)</f>
        <v>853</v>
      </c>
      <c r="R68" s="1886" t="s">
        <v>1051</v>
      </c>
    </row>
    <row r="69" spans="1:18" s="1842" customFormat="1" ht="13.5" thickBot="1">
      <c r="A69" s="1170"/>
      <c r="B69" s="1171"/>
      <c r="C69" s="351"/>
      <c r="D69" s="1189" t="s">
        <v>1474</v>
      </c>
      <c r="E69" s="1169" t="s">
        <v>1475</v>
      </c>
      <c r="F69" s="379">
        <f ca="1">F41</f>
        <v>46.85</v>
      </c>
      <c r="O69" s="1894" t="s">
        <v>1048</v>
      </c>
      <c r="P69" s="1934" t="s">
        <v>1585</v>
      </c>
      <c r="Q69" s="1886">
        <f ca="1">C39</f>
        <v>853</v>
      </c>
      <c r="R69" s="1886" t="s">
        <v>1530</v>
      </c>
    </row>
    <row r="70" spans="1:18" s="1842" customFormat="1" ht="13.5" thickBot="1">
      <c r="A70" s="1173"/>
      <c r="B70" s="1174"/>
      <c r="C70" s="355"/>
      <c r="D70" s="1185"/>
      <c r="E70" s="1169" t="s">
        <v>1478</v>
      </c>
      <c r="F70" s="1275"/>
      <c r="O70" s="1894" t="s">
        <v>1049</v>
      </c>
      <c r="P70" s="1934" t="s">
        <v>1586</v>
      </c>
      <c r="Q70" s="1886">
        <f ca="1">C13</f>
        <v>0</v>
      </c>
      <c r="R70" s="1886" t="s">
        <v>1530</v>
      </c>
    </row>
    <row r="71" spans="1:18" s="1842" customFormat="1" ht="13.5" thickBot="1">
      <c r="A71" s="1190" t="s">
        <v>1033</v>
      </c>
      <c r="B71" s="1191" t="s">
        <v>1488</v>
      </c>
      <c r="C71" s="382">
        <f ca="1">ROUND(C68*10000/F71,0)</f>
        <v>-1402</v>
      </c>
      <c r="D71" s="1192" t="s">
        <v>1489</v>
      </c>
      <c r="E71" s="1193" t="s">
        <v>1490</v>
      </c>
      <c r="F71" s="385">
        <f ca="1">F43</f>
        <v>14993.36</v>
      </c>
      <c r="O71" s="1894" t="s">
        <v>1050</v>
      </c>
      <c r="P71" s="1934" t="s">
        <v>1587</v>
      </c>
      <c r="Q71" s="1897">
        <f ca="1">C76</f>
        <v>8.5000000000000006E-2</v>
      </c>
      <c r="R71" s="1886"/>
    </row>
    <row r="72" spans="1:18" s="1842" customFormat="1" ht="13.5" thickBot="1">
      <c r="B72" s="796"/>
      <c r="C72" s="796"/>
      <c r="O72" s="1894" t="s">
        <v>1044</v>
      </c>
      <c r="P72" s="1885" t="s">
        <v>1565</v>
      </c>
      <c r="Q72" s="1897">
        <f>L52</f>
        <v>0</v>
      </c>
      <c r="R72" s="1886"/>
    </row>
    <row r="73" spans="1:18" ht="16.5" thickBot="1">
      <c r="A73" s="1842"/>
      <c r="B73" s="796"/>
      <c r="C73" s="796"/>
      <c r="D73" s="1842"/>
      <c r="E73" s="1842"/>
      <c r="F73" s="1842"/>
      <c r="O73" s="1894" t="s">
        <v>1045</v>
      </c>
      <c r="P73" s="1885" t="s">
        <v>1568</v>
      </c>
      <c r="Q73" s="1886" t="e">
        <f ca="1">L58</f>
        <v>#DIV/0!</v>
      </c>
      <c r="R73" s="1886" t="s">
        <v>1569</v>
      </c>
    </row>
    <row r="74" spans="1:18" ht="13.5" thickBot="1">
      <c r="A74" s="1842"/>
      <c r="B74" s="317" t="s">
        <v>1588</v>
      </c>
      <c r="C74" s="1936"/>
      <c r="D74" s="1842"/>
      <c r="E74" s="1842"/>
      <c r="F74" s="1842"/>
      <c r="O74" s="1894" t="s">
        <v>1052</v>
      </c>
      <c r="P74" s="1885" t="str">
        <f>K59</f>
        <v>续建工期及建筑物耐用年限下的土地年期修正系数Kn</v>
      </c>
      <c r="Q74" s="1886" t="e">
        <f ca="1">L59</f>
        <v>#DIV/0!</v>
      </c>
      <c r="R74" s="1886" t="s">
        <v>1570</v>
      </c>
    </row>
    <row r="75" spans="1:18" ht="13.5" thickBot="1">
      <c r="A75" s="1842"/>
      <c r="B75" s="386" t="s">
        <v>1507</v>
      </c>
      <c r="C75" s="387">
        <f ca="1">ROUND(C13*C76,0)</f>
        <v>0</v>
      </c>
      <c r="D75" s="1842"/>
      <c r="E75" s="1842"/>
      <c r="F75" s="1842"/>
      <c r="K75" s="1868"/>
      <c r="L75" s="1842"/>
      <c r="O75" s="1884" t="s">
        <v>1046</v>
      </c>
      <c r="P75" s="1885" t="s">
        <v>1550</v>
      </c>
      <c r="Q75" s="1886">
        <f ca="1">Q65+Q66</f>
        <v>23087</v>
      </c>
      <c r="R75" s="1886" t="s">
        <v>1047</v>
      </c>
    </row>
    <row r="76" spans="1:18">
      <c r="B76" s="388" t="s">
        <v>1508</v>
      </c>
      <c r="C76" s="389">
        <f ca="1">INDIRECT("'数据-取费表'!j"&amp;$G$1)</f>
        <v>8.5000000000000006E-2</v>
      </c>
      <c r="I76" s="1842"/>
      <c r="J76" s="1842"/>
      <c r="K76" s="1868"/>
      <c r="L76" s="1842"/>
    </row>
    <row r="77" spans="1:18">
      <c r="B77" s="390" t="s">
        <v>1509</v>
      </c>
      <c r="C77" s="391"/>
      <c r="I77" s="1842"/>
      <c r="J77" s="1842"/>
      <c r="K77" s="1868"/>
      <c r="L77" s="1842"/>
    </row>
    <row r="78" spans="1:18">
      <c r="B78" s="314" t="s">
        <v>1510</v>
      </c>
      <c r="C78" s="392"/>
    </row>
    <row r="79" spans="1:18">
      <c r="B79" s="386" t="s">
        <v>1511</v>
      </c>
      <c r="C79" s="318">
        <f ca="1">1-C80</f>
        <v>1</v>
      </c>
    </row>
    <row r="80" spans="1:18">
      <c r="B80" s="386" t="s">
        <v>1512</v>
      </c>
      <c r="C80" s="318">
        <f ca="1">ROUND(C75/C39,3)</f>
        <v>0</v>
      </c>
    </row>
    <row r="81" spans="2:3">
      <c r="B81" s="314" t="s">
        <v>1513</v>
      </c>
      <c r="C81" s="282"/>
    </row>
    <row r="82" spans="2:3">
      <c r="B82" s="317" t="s">
        <v>1514</v>
      </c>
      <c r="C82" s="319">
        <f ca="1">1-C83</f>
        <v>1</v>
      </c>
    </row>
    <row r="83" spans="2:3">
      <c r="B83" s="317" t="s">
        <v>1515</v>
      </c>
      <c r="C83" s="318">
        <f ca="1">ROUND(C13/C40,3)</f>
        <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 priority="4">
      <formula>$L$48&gt;$J$51</formula>
    </cfRule>
  </conditionalFormatting>
  <conditionalFormatting sqref="I55 I60">
    <cfRule type="expression" dxfId="8" priority="5">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C1" sqref="C1"/>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1590</v>
      </c>
      <c r="B1" s="782"/>
      <c r="C1" s="1837" t="s">
        <v>3393</v>
      </c>
      <c r="D1" s="1820" t="s">
        <v>3168</v>
      </c>
      <c r="E1" s="1821" t="s">
        <v>1387</v>
      </c>
      <c r="F1" s="1283">
        <f ca="1">J53</f>
        <v>46.85</v>
      </c>
      <c r="G1" s="1836">
        <f>MATCH(C1,'数据-取费表'!A6:A16,0)+5</f>
        <v>11</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1516</v>
      </c>
      <c r="B2" s="1844">
        <f ca="1">C40+J29+L46</f>
        <v>58218</v>
      </c>
      <c r="C2" s="1845" t="s">
        <v>1517</v>
      </c>
      <c r="D2" s="1845"/>
      <c r="E2" s="1846"/>
      <c r="F2" s="1847"/>
      <c r="G2" s="1848"/>
      <c r="H2" s="1840"/>
      <c r="I2" s="1840"/>
      <c r="J2" s="1840"/>
      <c r="K2" s="1841"/>
      <c r="L2" s="1840"/>
      <c r="M2" s="1840"/>
    </row>
    <row r="3" spans="1:37" ht="18" customHeight="1" thickBot="1">
      <c r="A3" s="1849" t="s">
        <v>1518</v>
      </c>
      <c r="B3" s="1850">
        <f ca="1">IF(ISERROR(B2*10000/F43),0,ROUND(B2*10000/F43,0))</f>
        <v>19774</v>
      </c>
      <c r="C3" s="1845" t="s">
        <v>1519</v>
      </c>
      <c r="D3" s="1845"/>
      <c r="E3" s="1846"/>
      <c r="F3" s="1847"/>
      <c r="G3" s="1848"/>
      <c r="H3" s="744" t="s">
        <v>1589</v>
      </c>
      <c r="I3" s="1840"/>
      <c r="J3" s="1840"/>
      <c r="K3" s="1841"/>
      <c r="L3" s="1840"/>
      <c r="M3" s="1840"/>
    </row>
    <row r="4" spans="1:37" ht="18" customHeight="1">
      <c r="A4" s="340" t="s">
        <v>1396</v>
      </c>
      <c r="B4" s="341" t="s">
        <v>1397</v>
      </c>
      <c r="C4" s="341" t="s">
        <v>1398</v>
      </c>
      <c r="D4" s="341" t="s">
        <v>1399</v>
      </c>
      <c r="E4" s="342" t="s">
        <v>1400</v>
      </c>
      <c r="F4" s="343"/>
      <c r="G4" s="1851"/>
      <c r="H4" s="340" t="s">
        <v>1396</v>
      </c>
      <c r="I4" s="341" t="s">
        <v>1397</v>
      </c>
      <c r="J4" s="341" t="s">
        <v>1398</v>
      </c>
      <c r="K4" s="341" t="s">
        <v>1399</v>
      </c>
      <c r="L4" s="342" t="s">
        <v>1400</v>
      </c>
      <c r="M4" s="343"/>
    </row>
    <row r="5" spans="1:37" ht="18" customHeight="1">
      <c r="A5" s="344">
        <v>1</v>
      </c>
      <c r="B5" s="345" t="s">
        <v>1401</v>
      </c>
      <c r="C5" s="1292">
        <f ca="1">C6+C10+C12</f>
        <v>2552</v>
      </c>
      <c r="D5" s="1822" t="s">
        <v>1402</v>
      </c>
      <c r="E5" s="1293"/>
      <c r="F5" s="1294"/>
      <c r="G5" s="1851"/>
      <c r="H5" s="344">
        <v>1</v>
      </c>
      <c r="I5" s="345" t="s">
        <v>1401</v>
      </c>
      <c r="J5" s="1292">
        <f ca="1">J6+J10+J12</f>
        <v>0</v>
      </c>
      <c r="K5" s="1822" t="s">
        <v>1402</v>
      </c>
      <c r="L5" s="1293"/>
      <c r="M5" s="1294"/>
    </row>
    <row r="6" spans="1:37" ht="18" customHeight="1">
      <c r="A6" s="1291" t="s">
        <v>1035</v>
      </c>
      <c r="B6" s="3398" t="s">
        <v>1403</v>
      </c>
      <c r="C6" s="1296">
        <f ca="1">ROUND(F6*F8*F7*(1-F9)/10000,0)</f>
        <v>2552</v>
      </c>
      <c r="D6" s="164" t="s">
        <v>3028</v>
      </c>
      <c r="E6" s="347" t="s">
        <v>1405</v>
      </c>
      <c r="F6" s="348">
        <f ca="1">INDIRECT("'数据-取费表'!u"&amp;$G$1)</f>
        <v>2.5</v>
      </c>
      <c r="G6" s="1851"/>
      <c r="H6" s="1291" t="s">
        <v>1035</v>
      </c>
      <c r="I6" s="3398" t="s">
        <v>1403</v>
      </c>
      <c r="J6" s="346">
        <f ca="1">ROUND(M6*M8*M7*(1-M9)/10000,0)</f>
        <v>0</v>
      </c>
      <c r="K6" s="164" t="s">
        <v>3027</v>
      </c>
      <c r="L6" s="347" t="s">
        <v>1405</v>
      </c>
      <c r="M6" s="348">
        <f ca="1">INDIRECT("'数据-取费表'!z"&amp;$G$1)</f>
        <v>0</v>
      </c>
    </row>
    <row r="7" spans="1:37" ht="18" customHeight="1">
      <c r="A7" s="1295"/>
      <c r="B7" s="3399"/>
      <c r="C7" s="1297"/>
      <c r="D7" s="352"/>
      <c r="E7" s="3090" t="s">
        <v>1406</v>
      </c>
      <c r="F7" s="348">
        <f ca="1">IF(INDIRECT("'数据-取费表'!ah"&amp;$G$1)="",INDIRECT("'数据-取费表'!k"&amp;$G$1),INDIRECT("'数据-取费表'!ah"&amp;$G$1))</f>
        <v>29441.34</v>
      </c>
      <c r="G7" s="1851"/>
      <c r="H7" s="349"/>
      <c r="I7" s="3399"/>
      <c r="J7" s="351"/>
      <c r="K7" s="352"/>
      <c r="L7" s="347" t="s">
        <v>1406</v>
      </c>
      <c r="M7" s="348">
        <f ca="1">F7</f>
        <v>29441.34</v>
      </c>
    </row>
    <row r="8" spans="1:37" ht="18" customHeight="1">
      <c r="A8" s="349"/>
      <c r="B8" s="3399"/>
      <c r="C8" s="351"/>
      <c r="D8" s="352"/>
      <c r="E8" s="347" t="s">
        <v>1407</v>
      </c>
      <c r="F8" s="348">
        <f ca="1">INDIRECT("'数据-取费表'!ai"&amp;$G$1)</f>
        <v>365</v>
      </c>
      <c r="G8" s="1851"/>
      <c r="H8" s="349"/>
      <c r="I8" s="3399"/>
      <c r="J8" s="351"/>
      <c r="K8" s="352"/>
      <c r="L8" s="347" t="s">
        <v>1407</v>
      </c>
      <c r="M8" s="348">
        <f ca="1">INDIRECT("'数据-取费表'!ai"&amp;$G$1)</f>
        <v>365</v>
      </c>
    </row>
    <row r="9" spans="1:37" ht="18" customHeight="1">
      <c r="A9" s="349"/>
      <c r="B9" s="3400"/>
      <c r="C9" s="351"/>
      <c r="D9" s="352"/>
      <c r="E9" s="347" t="s">
        <v>1408</v>
      </c>
      <c r="F9" s="357">
        <f ca="1">INDIRECT("'数据-取费表'!w"&amp;$G$1)</f>
        <v>0.05</v>
      </c>
      <c r="G9" s="1851"/>
      <c r="H9" s="349"/>
      <c r="I9" s="3400"/>
      <c r="J9" s="351"/>
      <c r="K9" s="352"/>
      <c r="L9" s="358" t="s">
        <v>1408</v>
      </c>
      <c r="M9" s="359">
        <f ca="1">INDIRECT("'数据-取费表'!ab"&amp;$G$1)</f>
        <v>0</v>
      </c>
    </row>
    <row r="10" spans="1:37" ht="18" customHeight="1">
      <c r="A10" s="1291" t="s">
        <v>1039</v>
      </c>
      <c r="B10" s="1823" t="s">
        <v>1409</v>
      </c>
      <c r="C10" s="361">
        <f ca="1">ROUND(IF(F10="押一",F6*F8*F7/12*F11,IF(F10="押二",F6*F8*F7/12*2*F11,IF(F10="押三",F6*F8*F7/12*3*F11,C11*F11)))/10000,0)</f>
        <v>0</v>
      </c>
      <c r="D10" s="1824" t="s">
        <v>3024</v>
      </c>
      <c r="E10" s="358" t="s">
        <v>1411</v>
      </c>
      <c r="F10" s="1366"/>
      <c r="G10" s="1851"/>
      <c r="H10" s="1291" t="s">
        <v>1039</v>
      </c>
      <c r="I10" s="1823" t="s">
        <v>1409</v>
      </c>
      <c r="J10" s="346">
        <f ca="1">ROUND(IF(M10="押一",M6*M8*M7/12*M11,IF(M10="押二",M6*M8*M7/12*2*M11,IF(M10="押三",M6*M8*M7/12*3*M11,J11*M11)))/10000,0)</f>
        <v>0</v>
      </c>
      <c r="K10" s="1824" t="s">
        <v>3024</v>
      </c>
      <c r="L10" s="358" t="s">
        <v>1411</v>
      </c>
      <c r="M10" s="1366" t="s">
        <v>1412</v>
      </c>
    </row>
    <row r="11" spans="1:37" ht="18" customHeight="1">
      <c r="A11" s="353"/>
      <c r="B11" s="1825" t="s">
        <v>1388</v>
      </c>
      <c r="C11" s="1178"/>
      <c r="D11" s="1826"/>
      <c r="E11" s="358" t="s">
        <v>1413</v>
      </c>
      <c r="F11" s="359">
        <f ca="1">'数据-取费表'!B39</f>
        <v>1.4999999999999999E-2</v>
      </c>
      <c r="G11" s="1851"/>
      <c r="H11" s="1299"/>
      <c r="I11" s="1825" t="s">
        <v>1388</v>
      </c>
      <c r="J11" s="1178"/>
      <c r="K11" s="748"/>
      <c r="L11" s="358" t="s">
        <v>1413</v>
      </c>
      <c r="M11" s="1056">
        <f ca="1">'数据-取费表'!B39</f>
        <v>1.4999999999999999E-2</v>
      </c>
    </row>
    <row r="12" spans="1:37" ht="18" customHeight="1" thickBot="1">
      <c r="A12" s="1333" t="s">
        <v>1075</v>
      </c>
      <c r="B12" s="1827" t="s">
        <v>1414</v>
      </c>
      <c r="C12" s="1334"/>
      <c r="D12" s="1335"/>
      <c r="E12" s="1340"/>
      <c r="F12" s="1336"/>
      <c r="G12" s="1851"/>
      <c r="H12" s="1333" t="s">
        <v>1075</v>
      </c>
      <c r="I12" s="1827" t="s">
        <v>1414</v>
      </c>
      <c r="J12" s="1334"/>
      <c r="K12" s="1348"/>
      <c r="L12" s="1340"/>
      <c r="M12" s="1349"/>
    </row>
    <row r="13" spans="1:37" ht="18" customHeight="1" thickTop="1">
      <c r="A13" s="1329">
        <v>2</v>
      </c>
      <c r="B13" s="1330" t="s">
        <v>1415</v>
      </c>
      <c r="C13" s="355">
        <f ca="1">ROUND(C29*F13,0)</f>
        <v>0</v>
      </c>
      <c r="D13" s="1331" t="s">
        <v>1416</v>
      </c>
      <c r="E13" s="1331" t="s">
        <v>1417</v>
      </c>
      <c r="F13" s="1332">
        <f ca="1">INDIRECT("'数据-取费表'!y"&amp;$G$1)</f>
        <v>0</v>
      </c>
      <c r="G13" s="1851"/>
      <c r="H13" s="1329">
        <v>2</v>
      </c>
      <c r="I13" s="1330" t="s">
        <v>1415</v>
      </c>
      <c r="J13" s="1290">
        <f ca="1">ROUND(J14*J15,0)</f>
        <v>0</v>
      </c>
      <c r="K13" s="1337" t="s">
        <v>1416</v>
      </c>
      <c r="L13" s="1852"/>
      <c r="M13" s="1853"/>
    </row>
    <row r="14" spans="1:37" ht="18" customHeight="1">
      <c r="A14" s="1201" t="s">
        <v>1034</v>
      </c>
      <c r="B14" s="347" t="s">
        <v>1418</v>
      </c>
      <c r="C14" s="363">
        <f ca="1">INDIRECT("'数据-取费表'!m"&amp;$G$1)+INDIRECT("'数据-取费表'!t"&amp;$G$1)</f>
        <v>6615</v>
      </c>
      <c r="D14" s="3093" t="s">
        <v>1419</v>
      </c>
      <c r="E14" s="3092"/>
      <c r="F14" s="364"/>
      <c r="G14" s="1851"/>
      <c r="H14" s="1201" t="s">
        <v>1035</v>
      </c>
      <c r="I14" s="347" t="s">
        <v>1420</v>
      </c>
      <c r="J14" s="24">
        <f ca="1">C29</f>
        <v>9723</v>
      </c>
      <c r="K14" s="3089"/>
      <c r="L14" s="979"/>
      <c r="M14" s="980"/>
    </row>
    <row r="15" spans="1:37" s="1858" customFormat="1" ht="18" customHeight="1" thickBot="1">
      <c r="A15" s="1201" t="s">
        <v>1036</v>
      </c>
      <c r="B15" s="347" t="s">
        <v>1421</v>
      </c>
      <c r="C15" s="24">
        <f ca="1">ROUND(C14*F15,0)</f>
        <v>198</v>
      </c>
      <c r="D15" s="365" t="s">
        <v>1422</v>
      </c>
      <c r="E15" s="365" t="s">
        <v>1423</v>
      </c>
      <c r="F15" s="366">
        <f>'数据-取费表'!B33</f>
        <v>0.03</v>
      </c>
      <c r="G15" s="1854"/>
      <c r="H15" s="1339" t="s">
        <v>1039</v>
      </c>
      <c r="I15" s="1340" t="s">
        <v>1417</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1389</v>
      </c>
      <c r="B16" s="347" t="s">
        <v>1424</v>
      </c>
      <c r="C16" s="24">
        <f ca="1">ROUND(INDIRECT("'数据-取费表'!m"&amp;$G$1)*F16,0)</f>
        <v>0</v>
      </c>
      <c r="D16" s="347" t="s">
        <v>1422</v>
      </c>
      <c r="E16" s="347" t="s">
        <v>1423</v>
      </c>
      <c r="F16" s="367">
        <f ca="1">IF(INDIRECT("'数据-取费表'!c"&amp;$G$1)="住宅",'数据-取费表'!B34,0)</f>
        <v>0</v>
      </c>
      <c r="G16" s="1851"/>
      <c r="H16" s="1329" t="s">
        <v>1030</v>
      </c>
      <c r="I16" s="1330" t="s">
        <v>1425</v>
      </c>
      <c r="J16" s="355">
        <f ca="1">ROUND(J17+J22+J23+J24,0)</f>
        <v>229</v>
      </c>
      <c r="K16" s="1337" t="s">
        <v>1426</v>
      </c>
      <c r="L16" s="3095"/>
      <c r="M16" s="1294"/>
    </row>
    <row r="17" spans="1:37" s="1858" customFormat="1" ht="18" customHeight="1">
      <c r="A17" s="1201" t="s">
        <v>1390</v>
      </c>
      <c r="B17" s="347" t="s">
        <v>1427</v>
      </c>
      <c r="C17" s="24">
        <f ca="1">ROUND(F17*(F43+INDIRECT("'数据-取费表'!S"&amp;$G$1))/10000,0)</f>
        <v>604</v>
      </c>
      <c r="D17" s="347" t="s">
        <v>1428</v>
      </c>
      <c r="E17" s="347" t="s">
        <v>1429</v>
      </c>
      <c r="F17" s="26">
        <f>'数据-取费表'!B35</f>
        <v>200</v>
      </c>
      <c r="G17" s="1854"/>
      <c r="H17" s="1201" t="s">
        <v>1035</v>
      </c>
      <c r="I17" s="347" t="s">
        <v>1430</v>
      </c>
      <c r="J17" s="24">
        <f ca="1">ROUND(IF(项目基本情况!B11="自然人",J5*M17,J18+J19+J20),1)</f>
        <v>82.9</v>
      </c>
      <c r="K17" s="3093" t="s">
        <v>1431</v>
      </c>
      <c r="L17" s="3094" t="s">
        <v>1432</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1391</v>
      </c>
      <c r="B18" s="347" t="s">
        <v>1433</v>
      </c>
      <c r="C18" s="24">
        <f ca="1">ROUND(C14*F18,0)</f>
        <v>99</v>
      </c>
      <c r="D18" s="347" t="s">
        <v>1422</v>
      </c>
      <c r="E18" s="347" t="s">
        <v>1423</v>
      </c>
      <c r="F18" s="367">
        <f>'数据-取费表'!B36</f>
        <v>1.4999999999999999E-2</v>
      </c>
      <c r="G18" s="1854"/>
      <c r="H18" s="1201" t="s">
        <v>1034</v>
      </c>
      <c r="I18" s="347" t="s">
        <v>1434</v>
      </c>
      <c r="J18" s="24">
        <f ca="1">ROUND(J5*M18/(1+'数据-取费表'!C42),2)</f>
        <v>0</v>
      </c>
      <c r="K18" s="3094" t="s">
        <v>1435</v>
      </c>
      <c r="L18" s="347" t="s">
        <v>1423</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1035</v>
      </c>
      <c r="B19" s="347" t="s">
        <v>1436</v>
      </c>
      <c r="C19" s="24">
        <f ca="1">SUM(C14:C18)</f>
        <v>7516</v>
      </c>
      <c r="D19" s="140" t="s">
        <v>1437</v>
      </c>
      <c r="E19" s="3088"/>
      <c r="F19" s="26"/>
      <c r="G19" s="1851"/>
      <c r="H19" s="1201" t="s">
        <v>1036</v>
      </c>
      <c r="I19" s="347" t="s">
        <v>1438</v>
      </c>
      <c r="J19" s="24">
        <f ca="1">IF(K19="按租金收入计税",ROUND(J5*M19,2),ROUND(C29*M19*0.7,2))</f>
        <v>81.67</v>
      </c>
      <c r="K19" s="1828" t="s">
        <v>1439</v>
      </c>
      <c r="L19" s="347" t="s">
        <v>1423</v>
      </c>
      <c r="M19" s="367">
        <f>IF(K19="按租金收入计税",'数据-取费表'!B51,'数据-取费表'!B50)</f>
        <v>1.2E-2</v>
      </c>
    </row>
    <row r="20" spans="1:37" s="1858" customFormat="1" ht="18" customHeight="1">
      <c r="A20" s="1201" t="s">
        <v>1039</v>
      </c>
      <c r="B20" s="347" t="s">
        <v>1440</v>
      </c>
      <c r="C20" s="24">
        <f ca="1">ROUND(C19*F20,0)</f>
        <v>150</v>
      </c>
      <c r="D20" s="369" t="s">
        <v>1441</v>
      </c>
      <c r="E20" s="347" t="s">
        <v>1423</v>
      </c>
      <c r="F20" s="367">
        <f>'数据-取费表'!B37</f>
        <v>0.02</v>
      </c>
      <c r="G20" s="1854"/>
      <c r="H20" s="1201" t="s">
        <v>1389</v>
      </c>
      <c r="I20" s="164" t="s">
        <v>1442</v>
      </c>
      <c r="J20" s="25">
        <f ca="1">ROUND(M20*M21/10000,2)</f>
        <v>1.2</v>
      </c>
      <c r="K20" s="370" t="s">
        <v>1443</v>
      </c>
      <c r="L20" s="347" t="s">
        <v>1444</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1075</v>
      </c>
      <c r="B21" s="347" t="s">
        <v>1445</v>
      </c>
      <c r="C21" s="24" t="s">
        <v>18</v>
      </c>
      <c r="D21" s="369" t="s">
        <v>1446</v>
      </c>
      <c r="E21" s="347" t="s">
        <v>1447</v>
      </c>
      <c r="F21" s="367">
        <f>'数据-取费表'!B38</f>
        <v>0.02</v>
      </c>
      <c r="G21" s="1854"/>
      <c r="H21" s="372"/>
      <c r="I21" s="356"/>
      <c r="J21" s="29"/>
      <c r="K21" s="373"/>
      <c r="L21" s="347" t="s">
        <v>1448</v>
      </c>
      <c r="M21" s="348">
        <f ca="1">INDIRECT("'数据-取费表'!r"&amp;$G$1)</f>
        <v>8014.83</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1392</v>
      </c>
      <c r="B22" s="347" t="s">
        <v>1449</v>
      </c>
      <c r="C22" s="24"/>
      <c r="D22" s="140" t="str">
        <f>IF(F23&lt;=1,"单利计息。","复利计息。")&amp;"建造成本、管理费用、销售费用产生的利息。"</f>
        <v>复利计息。建造成本、管理费用、销售费用产生的利息。</v>
      </c>
      <c r="E22" s="3088"/>
      <c r="F22" s="26"/>
      <c r="G22" s="1851"/>
      <c r="H22" s="1201" t="s">
        <v>1039</v>
      </c>
      <c r="I22" s="347" t="s">
        <v>1450</v>
      </c>
      <c r="J22" s="24">
        <f ca="1">ROUND(J14*M22,1)</f>
        <v>145.80000000000001</v>
      </c>
      <c r="K22" s="3094" t="s">
        <v>1451</v>
      </c>
      <c r="L22" s="347" t="s">
        <v>1423</v>
      </c>
      <c r="M22" s="374">
        <f ca="1">INDIRECT("'数据-取费表'!Ak"&amp;$G$1)</f>
        <v>1.4999999999999999E-2</v>
      </c>
    </row>
    <row r="23" spans="1:37" s="1858" customFormat="1" ht="18" customHeight="1">
      <c r="A23" s="1201" t="s">
        <v>1034</v>
      </c>
      <c r="B23" s="347" t="s">
        <v>1452</v>
      </c>
      <c r="C23" s="24">
        <f ca="1">IF('数据-取费表'!B22&lt;=1,ROUND(C19*F24*F23/2,0)+ROUND(C20*F24*F23/2,0),ROUND(C19*(POWER((1+F24),F23/2)-1),0)+ROUND(C20*(POWER((1+F24),F23/2)-1),0))</f>
        <v>553</v>
      </c>
      <c r="D23" s="375" t="str">
        <f>IF(F23&lt;=1,"(建造成本+管理费用)×利率×(建设周期÷2)","(建造成本+管理费用)×((1+利率)^(建设周期÷2)-1)")</f>
        <v>(建造成本+管理费用)×((1+利率)^(建设周期÷2)-1)</v>
      </c>
      <c r="E23" s="347" t="s">
        <v>1453</v>
      </c>
      <c r="F23" s="371">
        <f>'数据-取费表'!B20</f>
        <v>3</v>
      </c>
      <c r="G23" s="1854"/>
      <c r="H23" s="1201" t="s">
        <v>1075</v>
      </c>
      <c r="I23" s="347" t="s">
        <v>1454</v>
      </c>
      <c r="J23" s="24">
        <f ca="1">ROUND(J13*M23,1)</f>
        <v>0</v>
      </c>
      <c r="K23" s="3094" t="s">
        <v>1455</v>
      </c>
      <c r="L23" s="347" t="s">
        <v>1423</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1036</v>
      </c>
      <c r="B24" s="347" t="s">
        <v>1458</v>
      </c>
      <c r="C24" s="24">
        <f ca="1">ROUND(IF('数据-取费表'!B22&lt;=1,F21*F24*F23/2,F21*(POWER((1+F24),F23/2)-1)),4)</f>
        <v>1.4E-3</v>
      </c>
      <c r="D24" s="375" t="str">
        <f>IF(F23&lt;=1,"销售费用×利率×(建设周期÷2)","销售费用×((1+利率)^(建设周期÷2)-1)")</f>
        <v>销售费用×((1+利率)^(建设周期÷2)-1)</v>
      </c>
      <c r="E24" s="347" t="s">
        <v>1459</v>
      </c>
      <c r="F24" s="377">
        <f ca="1">'数据-取费表'!B40</f>
        <v>4.7500000000000001E-2</v>
      </c>
      <c r="G24" s="1854"/>
      <c r="H24" s="1339" t="s">
        <v>1392</v>
      </c>
      <c r="I24" s="1340" t="s">
        <v>1440</v>
      </c>
      <c r="J24" s="1341">
        <f ca="1">ROUND(J5*M24,1)</f>
        <v>0</v>
      </c>
      <c r="K24" s="1342" t="s">
        <v>1460</v>
      </c>
      <c r="L24" s="1340" t="s">
        <v>1423</v>
      </c>
      <c r="M24" s="1336">
        <f ca="1">INDIRECT("'数据-取费表'!Am"&amp;$G$1)</f>
        <v>1.4999999999999999E-2</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1461</v>
      </c>
      <c r="B25" s="347" t="s">
        <v>1462</v>
      </c>
      <c r="C25" s="24"/>
      <c r="D25" s="140" t="s">
        <v>1463</v>
      </c>
      <c r="E25" s="3088"/>
      <c r="F25" s="26"/>
      <c r="G25" s="1851"/>
      <c r="H25" s="1329" t="s">
        <v>1031</v>
      </c>
      <c r="I25" s="1344" t="s">
        <v>1464</v>
      </c>
      <c r="J25" s="355">
        <f ca="1">J5-J16</f>
        <v>-229</v>
      </c>
      <c r="K25" s="1345" t="s">
        <v>1465</v>
      </c>
      <c r="L25" s="1346"/>
      <c r="M25" s="1347"/>
    </row>
    <row r="26" spans="1:37">
      <c r="A26" s="1201" t="s">
        <v>1034</v>
      </c>
      <c r="B26" s="347" t="s">
        <v>1466</v>
      </c>
      <c r="C26" s="24">
        <f ca="1">ROUND((C19+C20)*F26,0)</f>
        <v>767</v>
      </c>
      <c r="D26" s="369" t="s">
        <v>1467</v>
      </c>
      <c r="E26" s="358" t="s">
        <v>1468</v>
      </c>
      <c r="F26" s="357">
        <f ca="1">INDIRECT("'数据-取费表'!q"&amp;$G$1)</f>
        <v>0.1</v>
      </c>
      <c r="G26" s="1851"/>
      <c r="H26" s="344" t="s">
        <v>1032</v>
      </c>
      <c r="I26" s="345" t="s">
        <v>1469</v>
      </c>
      <c r="J26" s="346">
        <f ca="1">IF(J5&lt;&gt;0,ROUND(J25*(1-((1+M28)/(1+M26))^M27)/(M26-M28),0),0)</f>
        <v>0</v>
      </c>
      <c r="K26" s="370" t="s">
        <v>1470</v>
      </c>
      <c r="L26" s="347" t="s">
        <v>1471</v>
      </c>
      <c r="M26" s="357">
        <f ca="1">INDIRECT("'数据-取费表'!I"&amp;$G$1)</f>
        <v>0.05</v>
      </c>
    </row>
    <row r="27" spans="1:37" ht="18" customHeight="1">
      <c r="A27" s="1201" t="s">
        <v>1036</v>
      </c>
      <c r="B27" s="347" t="s">
        <v>1472</v>
      </c>
      <c r="C27" s="24">
        <f ca="1">ROUND(F21*F26,4)</f>
        <v>2E-3</v>
      </c>
      <c r="D27" s="369" t="s">
        <v>1473</v>
      </c>
      <c r="E27" s="365"/>
      <c r="F27" s="366"/>
      <c r="G27" s="1851"/>
      <c r="H27" s="349"/>
      <c r="I27" s="350"/>
      <c r="J27" s="351"/>
      <c r="K27" s="378" t="s">
        <v>1474</v>
      </c>
      <c r="L27" s="347" t="s">
        <v>1475</v>
      </c>
      <c r="M27" s="379">
        <f ca="1">INDIRECT("'数据-取费表'!ag"&amp;$G$1)</f>
        <v>0</v>
      </c>
    </row>
    <row r="28" spans="1:37" s="1858" customFormat="1" ht="18" customHeight="1">
      <c r="A28" s="1201" t="s">
        <v>1037</v>
      </c>
      <c r="B28" s="347" t="s">
        <v>1476</v>
      </c>
      <c r="C28" s="24">
        <f>ROUND(F28/(1+'数据-取费表'!C42),4)</f>
        <v>5.2400000000000002E-2</v>
      </c>
      <c r="D28" s="369" t="s">
        <v>1477</v>
      </c>
      <c r="E28" s="347" t="s">
        <v>1423</v>
      </c>
      <c r="F28" s="367">
        <f>'数据-取费表'!B41</f>
        <v>5.5000000000000007E-2</v>
      </c>
      <c r="G28" s="1854"/>
      <c r="H28" s="353"/>
      <c r="I28" s="354"/>
      <c r="J28" s="355"/>
      <c r="K28" s="373"/>
      <c r="L28" s="347" t="s">
        <v>1478</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1038</v>
      </c>
      <c r="B29" s="1340" t="s">
        <v>1479</v>
      </c>
      <c r="C29" s="1341">
        <f ca="1">ROUND((C19+C20+C23+C26)/(1-F21-C24-C27-C28),0)</f>
        <v>9723</v>
      </c>
      <c r="D29" s="1342"/>
      <c r="E29" s="1340"/>
      <c r="F29" s="1343"/>
      <c r="G29" s="1854"/>
      <c r="H29" s="380" t="s">
        <v>1033</v>
      </c>
      <c r="I29" s="381" t="s">
        <v>1480</v>
      </c>
      <c r="J29" s="382">
        <f ca="1">ROUND(J26/(1+F40)^F41,0)</f>
        <v>0</v>
      </c>
      <c r="K29" s="383" t="s">
        <v>1481</v>
      </c>
      <c r="L29" s="384"/>
      <c r="M29" s="385">
        <f ca="1">INDIRECT("'数据-取费表'!k"&amp;$G$1)</f>
        <v>29441.34</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1030</v>
      </c>
      <c r="B30" s="1330" t="s">
        <v>1425</v>
      </c>
      <c r="C30" s="355">
        <f ca="1">ROUND(C31+C36+C37+C38,0)</f>
        <v>401</v>
      </c>
      <c r="D30" s="1337" t="s">
        <v>1426</v>
      </c>
      <c r="E30" s="3095"/>
      <c r="F30" s="1294"/>
      <c r="G30" s="1851"/>
      <c r="H30" s="745"/>
      <c r="I30" s="746"/>
      <c r="J30" s="747"/>
      <c r="K30" s="748"/>
      <c r="L30" s="749"/>
      <c r="M30" s="750"/>
    </row>
    <row r="31" spans="1:37" ht="18" customHeight="1">
      <c r="A31" s="1201" t="s">
        <v>1035</v>
      </c>
      <c r="B31" s="347" t="s">
        <v>1430</v>
      </c>
      <c r="C31" s="24">
        <f ca="1">ROUND(IF(项目基本情况!B11="自然人",C5*F31,C32+C33+C34),1)</f>
        <v>216.6</v>
      </c>
      <c r="D31" s="3093" t="s">
        <v>1431</v>
      </c>
      <c r="E31" s="3094" t="s">
        <v>1482</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1034</v>
      </c>
      <c r="B32" s="347" t="s">
        <v>1434</v>
      </c>
      <c r="C32" s="24">
        <f ca="1">IF(项目基本情况!B11="自然人","——",ROUND(C5*F32/(1+'数据-取费表'!C42),2))</f>
        <v>133.68</v>
      </c>
      <c r="D32" s="3094" t="s">
        <v>1435</v>
      </c>
      <c r="E32" s="347" t="s">
        <v>1423</v>
      </c>
      <c r="F32" s="377">
        <f>'数据-取费表'!B41</f>
        <v>5.5000000000000007E-2</v>
      </c>
      <c r="G32" s="1851"/>
      <c r="H32" s="745"/>
      <c r="I32" s="746"/>
      <c r="J32" s="747"/>
      <c r="K32" s="748"/>
      <c r="L32" s="749"/>
      <c r="M32" s="750"/>
    </row>
    <row r="33" spans="1:18" ht="18" customHeight="1">
      <c r="A33" s="1201" t="s">
        <v>1036</v>
      </c>
      <c r="B33" s="347" t="s">
        <v>1438</v>
      </c>
      <c r="C33" s="24">
        <f ca="1">IF(项目基本情况!B11="自然人","——",IF(D33="按租金收入计税",ROUND(C5*F33,2),IF(D33="按房产原值计税",ROUND(C29*F33*0.7,2),INDIRECT("'数据-取费表'!Aj"&amp;$G$1))))</f>
        <v>81.67</v>
      </c>
      <c r="D33" s="1828" t="s">
        <v>1439</v>
      </c>
      <c r="E33" s="347" t="s">
        <v>1423</v>
      </c>
      <c r="F33" s="367">
        <f>IF(D33="按票据","——",IF(D33="按租金收入计税",'数据-取费表'!B51,'数据-取费表'!B50))</f>
        <v>1.2E-2</v>
      </c>
      <c r="G33" s="1851"/>
      <c r="H33" s="1859"/>
      <c r="I33" s="1860"/>
      <c r="J33" s="1861"/>
      <c r="K33" s="1862"/>
      <c r="L33" s="1859"/>
      <c r="M33" s="1859"/>
    </row>
    <row r="34" spans="1:18" ht="18" customHeight="1">
      <c r="A34" s="1291" t="s">
        <v>1389</v>
      </c>
      <c r="B34" s="164" t="s">
        <v>1442</v>
      </c>
      <c r="C34" s="25">
        <f ca="1">IF(项目基本情况!B11="自然人","——",ROUND(F34*F35/10000,2))</f>
        <v>1.2</v>
      </c>
      <c r="D34" s="370" t="s">
        <v>1443</v>
      </c>
      <c r="E34" s="347" t="s">
        <v>1444</v>
      </c>
      <c r="F34" s="371">
        <f>'数据-取费表'!B52</f>
        <v>1.5</v>
      </c>
      <c r="G34" s="1851"/>
      <c r="H34" s="745"/>
      <c r="I34" s="1860"/>
      <c r="J34" s="1861"/>
      <c r="K34" s="1863"/>
      <c r="L34" s="1864"/>
      <c r="M34" s="1864"/>
    </row>
    <row r="35" spans="1:18" ht="18" customHeight="1">
      <c r="A35" s="1353"/>
      <c r="B35" s="1351"/>
      <c r="C35" s="29"/>
      <c r="D35" s="373"/>
      <c r="E35" s="347" t="s">
        <v>1448</v>
      </c>
      <c r="F35" s="348">
        <f ca="1">INDIRECT("'数据-取费表'!r"&amp;$G$1)</f>
        <v>8014.83</v>
      </c>
      <c r="G35" s="1851"/>
      <c r="H35" s="745"/>
      <c r="I35" s="1860"/>
      <c r="J35" s="1861"/>
      <c r="K35" s="1862"/>
      <c r="L35" s="1859"/>
      <c r="M35" s="1859"/>
    </row>
    <row r="36" spans="1:18" ht="18" customHeight="1">
      <c r="A36" s="1352" t="s">
        <v>1039</v>
      </c>
      <c r="B36" s="347" t="s">
        <v>1450</v>
      </c>
      <c r="C36" s="24">
        <f ca="1">ROUND(C29*F36,1)</f>
        <v>145.80000000000001</v>
      </c>
      <c r="D36" s="3094" t="s">
        <v>1483</v>
      </c>
      <c r="E36" s="347" t="s">
        <v>1423</v>
      </c>
      <c r="F36" s="374">
        <f ca="1">INDIRECT("'数据-取费表'!Ak"&amp;$G$1)</f>
        <v>1.4999999999999999E-2</v>
      </c>
      <c r="G36" s="1851"/>
      <c r="H36" s="1859"/>
      <c r="I36" s="1860"/>
      <c r="J36" s="1861"/>
      <c r="K36" s="751"/>
      <c r="L36" s="1859"/>
      <c r="M36" s="1859"/>
    </row>
    <row r="37" spans="1:18" ht="18" customHeight="1">
      <c r="A37" s="1201" t="s">
        <v>1075</v>
      </c>
      <c r="B37" s="347" t="s">
        <v>1454</v>
      </c>
      <c r="C37" s="24">
        <f ca="1">ROUND(C13*F37,1)</f>
        <v>0</v>
      </c>
      <c r="D37" s="3094" t="s">
        <v>1455</v>
      </c>
      <c r="E37" s="347" t="s">
        <v>1423</v>
      </c>
      <c r="F37" s="376">
        <f ca="1">INDIRECT("'数据-取费表'!Al"&amp;$G$1)</f>
        <v>1.5E-3</v>
      </c>
      <c r="G37" s="1851"/>
      <c r="H37" s="1859"/>
      <c r="I37" s="1860"/>
      <c r="J37" s="1861"/>
      <c r="K37" s="751"/>
      <c r="L37" s="1859"/>
      <c r="M37" s="1859"/>
    </row>
    <row r="38" spans="1:18" ht="18" customHeight="1" thickBot="1">
      <c r="A38" s="1339" t="s">
        <v>1392</v>
      </c>
      <c r="B38" s="1340" t="s">
        <v>1440</v>
      </c>
      <c r="C38" s="1341">
        <f ca="1">ROUND(C5*F38,1)</f>
        <v>38.299999999999997</v>
      </c>
      <c r="D38" s="1342" t="s">
        <v>1460</v>
      </c>
      <c r="E38" s="1340" t="s">
        <v>1423</v>
      </c>
      <c r="F38" s="1336">
        <f ca="1">INDIRECT("'数据-取费表'!Am"&amp;$G$1)</f>
        <v>1.4999999999999999E-2</v>
      </c>
      <c r="G38" s="1851"/>
      <c r="H38" s="1859"/>
      <c r="I38" s="1860"/>
      <c r="J38" s="1861"/>
      <c r="K38" s="1865"/>
      <c r="L38" s="1859"/>
      <c r="M38" s="1859"/>
    </row>
    <row r="39" spans="1:18" ht="24.6" customHeight="1" thickTop="1">
      <c r="A39" s="1329" t="s">
        <v>1031</v>
      </c>
      <c r="B39" s="1344" t="s">
        <v>1464</v>
      </c>
      <c r="C39" s="355">
        <f ca="1">C5-C30</f>
        <v>2151</v>
      </c>
      <c r="D39" s="1345" t="s">
        <v>1465</v>
      </c>
      <c r="E39" s="1346"/>
      <c r="F39" s="1347"/>
      <c r="G39" s="1851"/>
      <c r="H39" s="1859"/>
      <c r="I39" s="1860"/>
      <c r="J39" s="1861"/>
      <c r="K39" s="1865"/>
      <c r="L39" s="1859"/>
      <c r="M39" s="1859"/>
    </row>
    <row r="40" spans="1:18" ht="18" customHeight="1">
      <c r="A40" s="344" t="s">
        <v>1032</v>
      </c>
      <c r="B40" s="345" t="s">
        <v>1486</v>
      </c>
      <c r="C40" s="346">
        <f ca="1">ROUND(C39*(1-((1+F42)/(1+F40))^F41)/(F40-F42),0)</f>
        <v>58218</v>
      </c>
      <c r="D40" s="370" t="s">
        <v>1470</v>
      </c>
      <c r="E40" s="347" t="s">
        <v>1471</v>
      </c>
      <c r="F40" s="357">
        <f ca="1">INDIRECT("'数据-取费表'!I"&amp;$G$1)</f>
        <v>0.05</v>
      </c>
      <c r="G40" s="1851"/>
      <c r="H40" s="1839"/>
      <c r="I40" s="1860"/>
      <c r="J40" s="1861"/>
      <c r="K40" s="1865"/>
      <c r="L40" s="1839"/>
      <c r="M40" s="1839"/>
    </row>
    <row r="41" spans="1:18" ht="18" customHeight="1">
      <c r="A41" s="349"/>
      <c r="B41" s="350"/>
      <c r="C41" s="351"/>
      <c r="D41" s="378" t="s">
        <v>1487</v>
      </c>
      <c r="E41" s="347" t="s">
        <v>1475</v>
      </c>
      <c r="F41" s="379">
        <f ca="1">IF(INDIRECT("'数据-取费表'!af"&amp;$G$1)=0,INDIRECT("'数据-取费表'!ae"&amp;$G$1),INDIRECT("'数据-取费表'!af"&amp;$G$1))</f>
        <v>46.85</v>
      </c>
      <c r="G41" s="1851"/>
      <c r="H41" s="732"/>
      <c r="I41" s="1860"/>
      <c r="J41" s="1861"/>
      <c r="K41" s="751"/>
      <c r="L41" s="732"/>
      <c r="M41" s="732"/>
    </row>
    <row r="42" spans="1:18" ht="18" customHeight="1">
      <c r="A42" s="353"/>
      <c r="B42" s="354"/>
      <c r="C42" s="355"/>
      <c r="D42" s="373"/>
      <c r="E42" s="347" t="s">
        <v>1478</v>
      </c>
      <c r="F42" s="357">
        <f ca="1">INDIRECT("'数据-取费表'!v"&amp;$G$1)</f>
        <v>2.5000000000000001E-2</v>
      </c>
      <c r="G42" s="1851"/>
      <c r="H42" s="732"/>
      <c r="I42" s="1860"/>
      <c r="J42" s="1861"/>
      <c r="K42" s="751"/>
      <c r="L42" s="732"/>
      <c r="M42" s="732"/>
    </row>
    <row r="43" spans="1:18" ht="18" customHeight="1" thickBot="1">
      <c r="A43" s="380" t="s">
        <v>1033</v>
      </c>
      <c r="B43" s="381" t="s">
        <v>1488</v>
      </c>
      <c r="C43" s="382">
        <f ca="1">ROUND(C40*10000/F43,0)</f>
        <v>19774</v>
      </c>
      <c r="D43" s="383" t="s">
        <v>1489</v>
      </c>
      <c r="E43" s="384" t="s">
        <v>1490</v>
      </c>
      <c r="F43" s="385">
        <f ca="1">INDIRECT("'数据-取费表'!k"&amp;$G$1)</f>
        <v>29441.34</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1520</v>
      </c>
      <c r="P45" s="1839"/>
      <c r="Q45" s="1839"/>
      <c r="R45" s="1839"/>
    </row>
    <row r="46" spans="1:18" s="1842" customFormat="1" ht="13.5" thickBot="1">
      <c r="A46" s="1870" t="s">
        <v>1521</v>
      </c>
      <c r="C46" s="1871">
        <f ca="1">C68-C40</f>
        <v>-62332</v>
      </c>
      <c r="D46" s="1872" t="str">
        <f>C2</f>
        <v>万元</v>
      </c>
      <c r="E46" s="1866"/>
      <c r="F46" s="1866"/>
      <c r="I46" s="1873" t="s">
        <v>1522</v>
      </c>
      <c r="J46" s="1874"/>
      <c r="K46" s="1875"/>
      <c r="L46" s="1876" t="str">
        <f ca="1">IF(M47="住宅",0,IF(L48&gt;J51,L60,J60))</f>
        <v>0</v>
      </c>
      <c r="O46" s="1877" t="s">
        <v>1523</v>
      </c>
      <c r="P46" s="1878" t="s">
        <v>1524</v>
      </c>
      <c r="Q46" s="1879" t="s">
        <v>1525</v>
      </c>
      <c r="R46" s="1879" t="s">
        <v>1526</v>
      </c>
    </row>
    <row r="47" spans="1:18" s="1842" customFormat="1" ht="13.5" thickBot="1">
      <c r="A47" s="1165" t="s">
        <v>1396</v>
      </c>
      <c r="B47" s="1197" t="s">
        <v>1397</v>
      </c>
      <c r="C47" s="1367" t="s">
        <v>1398</v>
      </c>
      <c r="D47" s="1197" t="s">
        <v>1399</v>
      </c>
      <c r="E47" s="1279" t="s">
        <v>1400</v>
      </c>
      <c r="F47" s="1280"/>
      <c r="G47" s="792"/>
      <c r="I47" s="1880" t="s">
        <v>1527</v>
      </c>
      <c r="J47" s="1881" t="s">
        <v>3169</v>
      </c>
      <c r="K47" s="1882" t="s">
        <v>1528</v>
      </c>
      <c r="L47" s="1883">
        <f ca="1">INDIRECT("'数据-取费表'!d"&amp;$G$1)</f>
        <v>50</v>
      </c>
      <c r="M47" s="1838" t="str">
        <f>IF(ISNUMBER(FIND("住宅",C1)),"住宅","非住宅")</f>
        <v>非住宅</v>
      </c>
      <c r="O47" s="1884" t="s">
        <v>1040</v>
      </c>
      <c r="P47" s="1885" t="s">
        <v>1529</v>
      </c>
      <c r="Q47" s="1886">
        <f ca="1">C40+J29</f>
        <v>58218</v>
      </c>
      <c r="R47" s="1886" t="s">
        <v>1530</v>
      </c>
    </row>
    <row r="48" spans="1:18" s="1842" customFormat="1" ht="28.5" thickBot="1">
      <c r="A48" s="1360" t="s">
        <v>1135</v>
      </c>
      <c r="B48" s="345" t="s">
        <v>1401</v>
      </c>
      <c r="C48" s="3087">
        <f ca="1">C49+C53+C55</f>
        <v>0</v>
      </c>
      <c r="D48" s="1362"/>
      <c r="E48" s="1363"/>
      <c r="F48" s="1181"/>
      <c r="G48" s="792"/>
      <c r="H48" s="793"/>
      <c r="I48" s="1887" t="s">
        <v>1531</v>
      </c>
      <c r="J48" s="1888" t="s">
        <v>3170</v>
      </c>
      <c r="K48" s="1889" t="s">
        <v>1532</v>
      </c>
      <c r="L48" s="1890">
        <f ca="1">INDIRECT("'数据-取费表'!f"&amp;$G$1)</f>
        <v>47.95</v>
      </c>
      <c r="O48" s="1884" t="s">
        <v>1041</v>
      </c>
      <c r="P48" s="1885" t="s">
        <v>1533</v>
      </c>
      <c r="Q48" s="1886" t="str">
        <f ca="1">J60</f>
        <v>0</v>
      </c>
      <c r="R48" s="1886" t="s">
        <v>1534</v>
      </c>
    </row>
    <row r="49" spans="1:18" s="1842" customFormat="1" ht="13.5" thickBot="1">
      <c r="A49" s="1194" t="s">
        <v>1136</v>
      </c>
      <c r="B49" s="1829" t="s">
        <v>1491</v>
      </c>
      <c r="C49" s="1364">
        <f ca="1">ROUND(F49*F51*F50*(1-F52)/10000,0)</f>
        <v>0</v>
      </c>
      <c r="D49" s="1276" t="s">
        <v>3027</v>
      </c>
      <c r="E49" s="1830" t="s">
        <v>1492</v>
      </c>
      <c r="F49" s="1281"/>
      <c r="G49" s="1891"/>
      <c r="H49" s="793"/>
      <c r="I49" s="1887" t="s">
        <v>1535</v>
      </c>
      <c r="J49" s="1892">
        <v>2018</v>
      </c>
      <c r="K49" s="1889" t="s">
        <v>1536</v>
      </c>
      <c r="L49" s="1893"/>
      <c r="O49" s="1894" t="s">
        <v>1042</v>
      </c>
      <c r="P49" s="1885" t="s">
        <v>1537</v>
      </c>
      <c r="Q49" s="1886">
        <f ca="1">C29</f>
        <v>9723</v>
      </c>
      <c r="R49" s="1886" t="s">
        <v>1530</v>
      </c>
    </row>
    <row r="50" spans="1:18" s="1842" customFormat="1" ht="13.5" thickBot="1">
      <c r="A50" s="1195"/>
      <c r="B50" s="1198"/>
      <c r="C50" s="1368"/>
      <c r="D50" s="1172"/>
      <c r="E50" s="1277" t="s">
        <v>1406</v>
      </c>
      <c r="F50" s="1278">
        <f ca="1">F7</f>
        <v>29441.34</v>
      </c>
      <c r="H50" s="793"/>
      <c r="I50" s="1887" t="s">
        <v>1538</v>
      </c>
      <c r="J50" s="1895">
        <f>SUMPRODUCT((I63:I65=J47)*(J62:L62=J48)*(J63:L65))</f>
        <v>60</v>
      </c>
      <c r="K50" s="1889" t="s">
        <v>1539</v>
      </c>
      <c r="L50" s="1893"/>
      <c r="M50" s="1896"/>
      <c r="O50" s="1894" t="s">
        <v>1043</v>
      </c>
      <c r="P50" s="1885" t="s">
        <v>1540</v>
      </c>
      <c r="Q50" s="1897" t="e">
        <f ca="1">J58</f>
        <v>#VALUE!</v>
      </c>
      <c r="R50" s="1886"/>
    </row>
    <row r="51" spans="1:18" s="1842" customFormat="1" ht="13.5" thickBot="1">
      <c r="A51" s="1196"/>
      <c r="B51" s="1198"/>
      <c r="C51" s="1199"/>
      <c r="D51" s="1172"/>
      <c r="E51" s="1200" t="s">
        <v>1407</v>
      </c>
      <c r="F51" s="348">
        <f ca="1">F8</f>
        <v>365</v>
      </c>
      <c r="I51" s="1898" t="s">
        <v>1541</v>
      </c>
      <c r="J51" s="1899">
        <f>IF(J49="",J50,J49+J50-YEAR('数据-取费表'!B2))</f>
        <v>60</v>
      </c>
      <c r="K51" s="1900" t="s">
        <v>1542</v>
      </c>
      <c r="L51" s="1901">
        <f ca="1">ROUND(-PV(INDIRECT("'数据-取费表'!h"&amp;$G$1),L48,(C39-C13*C76),0),0)</f>
        <v>45575</v>
      </c>
      <c r="M51" s="1902"/>
      <c r="O51" s="1894" t="s">
        <v>1044</v>
      </c>
      <c r="P51" s="1885" t="s">
        <v>1543</v>
      </c>
      <c r="Q51" s="1897">
        <f>J52</f>
        <v>0.09</v>
      </c>
      <c r="R51" s="1886"/>
    </row>
    <row r="52" spans="1:18" s="1842" customFormat="1" ht="13.5" thickBot="1">
      <c r="A52" s="1196"/>
      <c r="B52" s="1198"/>
      <c r="C52" s="1199"/>
      <c r="D52" s="1172"/>
      <c r="E52" s="1200" t="s">
        <v>1408</v>
      </c>
      <c r="F52" s="1275"/>
      <c r="I52" s="1903" t="s">
        <v>1544</v>
      </c>
      <c r="J52" s="1904">
        <v>0.09</v>
      </c>
      <c r="K52" s="1903" t="s">
        <v>1545</v>
      </c>
      <c r="L52" s="1904"/>
      <c r="O52" s="1894" t="s">
        <v>1045</v>
      </c>
      <c r="P52" s="1885" t="s">
        <v>1546</v>
      </c>
      <c r="Q52" s="1886">
        <f ca="1">J53</f>
        <v>46.85</v>
      </c>
      <c r="R52" s="1886" t="s">
        <v>1547</v>
      </c>
    </row>
    <row r="53" spans="1:18" s="1842" customFormat="1" ht="24.75" thickBot="1">
      <c r="A53" s="1405" t="s">
        <v>1137</v>
      </c>
      <c r="B53" s="1831" t="s">
        <v>1409</v>
      </c>
      <c r="C53" s="361">
        <f ca="1">ROUND(IF(F53="押一",F49*F51*F50/12*F11,IF(F53="押二",F49*F51*F50/12*2*F11,IF(F53="押三",F49*F51*F50/12*3*F11,C54*F11)))/10000,0)</f>
        <v>0</v>
      </c>
      <c r="D53" s="1824" t="s">
        <v>3024</v>
      </c>
      <c r="E53" s="358" t="s">
        <v>1411</v>
      </c>
      <c r="F53" s="1366"/>
      <c r="I53" s="1905" t="s">
        <v>1548</v>
      </c>
      <c r="J53" s="1906">
        <f ca="1">IF(M47="住宅",J51,IF(D1="——",MIN(J51,L48),IF(D1="在建（套用方法）",MIN(J51,L48-'数据-取费表'!B24),IF(D1="土地（套用方法）",MIN(J51,L48-'数据-取费表'!B20)))))</f>
        <v>46.85</v>
      </c>
      <c r="K53" s="3396" t="s">
        <v>1549</v>
      </c>
      <c r="L53" s="3397"/>
      <c r="O53" s="1884" t="s">
        <v>1046</v>
      </c>
      <c r="P53" s="1885" t="s">
        <v>1550</v>
      </c>
      <c r="Q53" s="1886">
        <f ca="1">Q47+Q48</f>
        <v>58218</v>
      </c>
      <c r="R53" s="1886" t="s">
        <v>1047</v>
      </c>
    </row>
    <row r="54" spans="1:18" s="1842" customFormat="1" ht="13.5" thickBot="1">
      <c r="A54" s="1406"/>
      <c r="B54" s="1825" t="s">
        <v>1388</v>
      </c>
      <c r="C54" s="1178"/>
      <c r="D54" s="1824"/>
      <c r="E54" s="3091"/>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1551</v>
      </c>
      <c r="P54" s="1839"/>
      <c r="Q54" s="1839"/>
      <c r="R54" s="1839"/>
    </row>
    <row r="55" spans="1:18" s="1842" customFormat="1" ht="13.5" thickBot="1">
      <c r="A55" s="1333" t="s">
        <v>1075</v>
      </c>
      <c r="B55" s="1827" t="s">
        <v>1414</v>
      </c>
      <c r="C55" s="1334"/>
      <c r="D55" s="1824"/>
      <c r="E55" s="3091"/>
      <c r="F55" s="1907"/>
      <c r="I55" s="1910" t="s">
        <v>1552</v>
      </c>
      <c r="J55" s="1911" t="e">
        <f ca="1">ROUND(IF(J47="钢混",J57/J50,1-(1-2%)*(J50-J57)/J50),3)</f>
        <v>#VALUE!</v>
      </c>
      <c r="K55" s="1912" t="s">
        <v>1553</v>
      </c>
      <c r="L55" s="1913" t="s">
        <v>1554</v>
      </c>
      <c r="O55" s="1877" t="s">
        <v>1523</v>
      </c>
      <c r="P55" s="1878" t="s">
        <v>1524</v>
      </c>
      <c r="Q55" s="1879" t="s">
        <v>1525</v>
      </c>
      <c r="R55" s="1879" t="s">
        <v>1526</v>
      </c>
    </row>
    <row r="56" spans="1:18" s="1842" customFormat="1" ht="25.5" thickTop="1" thickBot="1">
      <c r="A56" s="1176">
        <v>2</v>
      </c>
      <c r="B56" s="1177" t="s">
        <v>1415</v>
      </c>
      <c r="C56" s="276">
        <f ca="1">C13</f>
        <v>0</v>
      </c>
      <c r="D56" s="1914"/>
      <c r="E56" s="1915"/>
      <c r="F56" s="1907"/>
      <c r="I56" s="1916" t="s">
        <v>1555</v>
      </c>
      <c r="J56" s="1917" t="s">
        <v>3145</v>
      </c>
      <c r="K56" s="1887" t="s">
        <v>1556</v>
      </c>
      <c r="L56" s="1890" t="str">
        <f ca="1">IF(L48&lt;J51,"——",L48-J53)</f>
        <v>——</v>
      </c>
      <c r="O56" s="1884" t="s">
        <v>1040</v>
      </c>
      <c r="P56" s="1885" t="s">
        <v>1529</v>
      </c>
      <c r="Q56" s="1886">
        <f ca="1">C40+J29</f>
        <v>58218</v>
      </c>
      <c r="R56" s="1886" t="s">
        <v>1530</v>
      </c>
    </row>
    <row r="57" spans="1:18" s="1842" customFormat="1" ht="24.75" thickBot="1">
      <c r="A57" s="1918"/>
      <c r="B57" s="1169" t="s">
        <v>1479</v>
      </c>
      <c r="C57" s="282">
        <f ca="1">C29</f>
        <v>9723</v>
      </c>
      <c r="D57" s="1919"/>
      <c r="E57" s="1920"/>
      <c r="F57" s="1921"/>
      <c r="I57" s="1922" t="s">
        <v>1557</v>
      </c>
      <c r="J57" s="1923" t="str">
        <f ca="1">IF(OR(M47="住宅",J51&lt;L48,J56="是"),"——",J51-L48)</f>
        <v>——</v>
      </c>
      <c r="K57" s="1887" t="s">
        <v>1558</v>
      </c>
      <c r="L57" s="1890" t="str">
        <f ca="1">IF(L48&lt;J51,"——",IF(L55="比较法",L49,IF(L55="基准地价",L50,L51)))</f>
        <v>——</v>
      </c>
      <c r="O57" s="1884" t="s">
        <v>1041</v>
      </c>
      <c r="P57" s="1885" t="s">
        <v>1559</v>
      </c>
      <c r="Q57" s="1886">
        <f ca="1">L60</f>
        <v>0</v>
      </c>
      <c r="R57" s="1886" t="s">
        <v>1560</v>
      </c>
    </row>
    <row r="58" spans="1:18" s="1842" customFormat="1" ht="24.75" thickBot="1">
      <c r="A58" s="360" t="s">
        <v>1030</v>
      </c>
      <c r="B58" s="1177" t="s">
        <v>1425</v>
      </c>
      <c r="C58" s="361">
        <f ca="1">ROUND(C59+C64+C65+C66,0)</f>
        <v>229</v>
      </c>
      <c r="D58" s="1179" t="s">
        <v>1426</v>
      </c>
      <c r="E58" s="1180"/>
      <c r="F58" s="1181"/>
      <c r="I58" s="1922" t="s">
        <v>1561</v>
      </c>
      <c r="J58" s="1924" t="e">
        <f ca="1">IF(J55&lt;0.4,0.4,J55)</f>
        <v>#VALUE!</v>
      </c>
      <c r="K58" s="1900" t="s">
        <v>1562</v>
      </c>
      <c r="L58" s="1890" t="e">
        <f ca="1">ROUND(POWER(1+L52,L47-L48)*(POWER(1+L52,L48)-1)/(POWER(1+L52,L47)-1),4)</f>
        <v>#DIV/0!</v>
      </c>
      <c r="O58" s="1894" t="s">
        <v>1042</v>
      </c>
      <c r="P58" s="1885" t="s">
        <v>1563</v>
      </c>
      <c r="Q58" s="1886">
        <f>IF(L55="比较法",L49,IF(L55="基准地价",L50,0))</f>
        <v>0</v>
      </c>
      <c r="R58" s="1886" t="s">
        <v>1530</v>
      </c>
    </row>
    <row r="59" spans="1:18" s="1842" customFormat="1" ht="24.75" thickBot="1">
      <c r="A59" s="1201" t="s">
        <v>1035</v>
      </c>
      <c r="B59" s="1169" t="s">
        <v>1430</v>
      </c>
      <c r="C59" s="24">
        <f ca="1">ROUND(IF(项目基本情况!B11="自然人",C48*F59,C60+C61+C62),1)</f>
        <v>82.9</v>
      </c>
      <c r="D59" s="1182" t="s">
        <v>1431</v>
      </c>
      <c r="E59" s="1183" t="s">
        <v>1432</v>
      </c>
      <c r="F59" s="368" t="str">
        <f ca="1">IF(项目基本情况!B11="企业","",IF(INDIRECT("'数据-取费表'!c"&amp;$G$1)="住宅",5%,IF(F49*F50*F51/12/(1+'数据-取费表'!C42)&gt;20000,12%,7%)))</f>
        <v/>
      </c>
      <c r="I59" s="1922" t="s">
        <v>1564</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1043</v>
      </c>
      <c r="P59" s="1885" t="s">
        <v>1565</v>
      </c>
      <c r="Q59" s="1897">
        <f>L52</f>
        <v>0</v>
      </c>
      <c r="R59" s="1886"/>
    </row>
    <row r="60" spans="1:18" s="1842" customFormat="1" ht="16.5" thickBot="1">
      <c r="A60" s="1201" t="s">
        <v>1034</v>
      </c>
      <c r="B60" s="1169" t="s">
        <v>1434</v>
      </c>
      <c r="C60" s="24">
        <f ca="1">IF(项目基本情况!B11="自然人","——",ROUND(C48*F60/(1+'数据-取费表'!C42),2))</f>
        <v>0</v>
      </c>
      <c r="D60" s="1183" t="s">
        <v>1435</v>
      </c>
      <c r="E60" s="1169" t="s">
        <v>1423</v>
      </c>
      <c r="F60" s="377">
        <f t="shared" ref="F60:F66" si="0">F32</f>
        <v>5.5000000000000007E-2</v>
      </c>
      <c r="I60" s="1925" t="s">
        <v>1566</v>
      </c>
      <c r="J60" s="1926" t="str">
        <f ca="1">IF(OR(M47="住宅",J51&lt;L48,J56="是"),"0",ROUND(J59/(1+J52)^J53,0))</f>
        <v>0</v>
      </c>
      <c r="K60" s="1927" t="s">
        <v>1567</v>
      </c>
      <c r="L60" s="1926">
        <f ca="1">IF(OR(M47="住宅",L48&lt;J51),0,ROUND(L57*(L58/L59-1),0))</f>
        <v>0</v>
      </c>
      <c r="O60" s="1894" t="s">
        <v>1044</v>
      </c>
      <c r="P60" s="1885" t="s">
        <v>1568</v>
      </c>
      <c r="Q60" s="1886" t="e">
        <f ca="1">L58</f>
        <v>#DIV/0!</v>
      </c>
      <c r="R60" s="1886" t="s">
        <v>1569</v>
      </c>
    </row>
    <row r="61" spans="1:18" s="1842" customFormat="1" ht="13.5" thickBot="1">
      <c r="A61" s="1201" t="s">
        <v>1493</v>
      </c>
      <c r="B61" s="1169" t="s">
        <v>1438</v>
      </c>
      <c r="C61" s="24">
        <f ca="1">IF(项目基本情况!B11="自然人","——",IF(D61="按租金收入计税",ROUND(C48*F61,2),IF(D61="按房产原值计税",ROUND(C57*F61*0.7,2),INDIRECT("'数据-取费表'!Aj"&amp;$G$1))))</f>
        <v>81.67</v>
      </c>
      <c r="D61" s="1828" t="s">
        <v>1439</v>
      </c>
      <c r="E61" s="1169" t="s">
        <v>1423</v>
      </c>
      <c r="F61" s="367">
        <f t="shared" si="0"/>
        <v>1.2E-2</v>
      </c>
      <c r="I61" s="1928"/>
      <c r="J61" s="1928"/>
      <c r="K61" s="1928"/>
      <c r="L61" s="1928"/>
      <c r="O61" s="1894" t="s">
        <v>1045</v>
      </c>
      <c r="P61" s="1885" t="str">
        <f>K59</f>
        <v>续建工期及建筑物耐用年限下的土地年期修正系数Kn</v>
      </c>
      <c r="Q61" s="1886" t="e">
        <f ca="1">L59</f>
        <v>#DIV/0!</v>
      </c>
      <c r="R61" s="1886" t="s">
        <v>1570</v>
      </c>
    </row>
    <row r="62" spans="1:18" s="1842" customFormat="1" ht="13.5" thickBot="1">
      <c r="A62" s="1201" t="s">
        <v>1496</v>
      </c>
      <c r="B62" s="1168" t="s">
        <v>1442</v>
      </c>
      <c r="C62" s="25">
        <f ca="1">IF(项目基本情况!B11="自然人","——",ROUND(F62*F63/10000,2))</f>
        <v>1.2</v>
      </c>
      <c r="D62" s="1184" t="s">
        <v>1443</v>
      </c>
      <c r="E62" s="1169" t="s">
        <v>1444</v>
      </c>
      <c r="F62" s="371">
        <f t="shared" si="0"/>
        <v>1.5</v>
      </c>
      <c r="I62" s="1929" t="s">
        <v>1571</v>
      </c>
      <c r="J62" s="1930" t="s">
        <v>1572</v>
      </c>
      <c r="K62" s="1930" t="s">
        <v>1573</v>
      </c>
      <c r="L62" s="1930" t="s">
        <v>1574</v>
      </c>
      <c r="M62" s="1931" t="s">
        <v>1575</v>
      </c>
      <c r="O62" s="1884" t="s">
        <v>1046</v>
      </c>
      <c r="P62" s="1885" t="s">
        <v>1550</v>
      </c>
      <c r="Q62" s="1886">
        <f ca="1">Q56+Q57</f>
        <v>58218</v>
      </c>
      <c r="R62" s="1886" t="s">
        <v>1047</v>
      </c>
    </row>
    <row r="63" spans="1:18" s="1842" customFormat="1" ht="13.5" thickBot="1">
      <c r="A63" s="372"/>
      <c r="B63" s="1175"/>
      <c r="C63" s="29"/>
      <c r="D63" s="1185"/>
      <c r="E63" s="1169" t="s">
        <v>1448</v>
      </c>
      <c r="F63" s="348">
        <f t="shared" ca="1" si="0"/>
        <v>8014.83</v>
      </c>
      <c r="I63" s="1929" t="s">
        <v>1577</v>
      </c>
      <c r="J63" s="1930">
        <v>70</v>
      </c>
      <c r="K63" s="1930">
        <v>50</v>
      </c>
      <c r="L63" s="1930">
        <v>80</v>
      </c>
      <c r="M63" s="1932">
        <v>0.02</v>
      </c>
      <c r="O63" s="1869" t="s">
        <v>1578</v>
      </c>
      <c r="P63" s="1839"/>
      <c r="Q63" s="1839"/>
      <c r="R63" s="1839"/>
    </row>
    <row r="64" spans="1:18" s="1842" customFormat="1" ht="13.5" thickBot="1">
      <c r="A64" s="1201" t="s">
        <v>1039</v>
      </c>
      <c r="B64" s="1169" t="s">
        <v>1450</v>
      </c>
      <c r="C64" s="24">
        <f ca="1">ROUND(C57*F64,1)</f>
        <v>145.80000000000001</v>
      </c>
      <c r="D64" s="1183" t="s">
        <v>1483</v>
      </c>
      <c r="E64" s="1169" t="s">
        <v>1423</v>
      </c>
      <c r="F64" s="374">
        <f t="shared" ca="1" si="0"/>
        <v>1.4999999999999999E-2</v>
      </c>
      <c r="I64" s="1929" t="s">
        <v>1579</v>
      </c>
      <c r="J64" s="1930">
        <v>50</v>
      </c>
      <c r="K64" s="1930">
        <v>35</v>
      </c>
      <c r="L64" s="1930">
        <v>60</v>
      </c>
      <c r="M64" s="1931">
        <v>0</v>
      </c>
      <c r="O64" s="1877" t="s">
        <v>1523</v>
      </c>
      <c r="P64" s="1878" t="s">
        <v>1524</v>
      </c>
      <c r="Q64" s="1879" t="s">
        <v>1525</v>
      </c>
      <c r="R64" s="1879" t="s">
        <v>1526</v>
      </c>
    </row>
    <row r="65" spans="1:18" s="1842" customFormat="1" ht="13.5" thickBot="1">
      <c r="A65" s="1201" t="s">
        <v>1504</v>
      </c>
      <c r="B65" s="1169" t="s">
        <v>1454</v>
      </c>
      <c r="C65" s="24">
        <f ca="1">ROUND(C56*F65,1)</f>
        <v>0</v>
      </c>
      <c r="D65" s="1183" t="s">
        <v>1455</v>
      </c>
      <c r="E65" s="1169" t="s">
        <v>1423</v>
      </c>
      <c r="F65" s="376">
        <f t="shared" ca="1" si="0"/>
        <v>1.5E-3</v>
      </c>
      <c r="I65" s="1929" t="s">
        <v>1580</v>
      </c>
      <c r="J65" s="1930">
        <v>40</v>
      </c>
      <c r="K65" s="1930">
        <v>30</v>
      </c>
      <c r="L65" s="1930">
        <v>50</v>
      </c>
      <c r="M65" s="1932">
        <v>0.02</v>
      </c>
      <c r="O65" s="1884" t="s">
        <v>1040</v>
      </c>
      <c r="P65" s="1885" t="s">
        <v>1529</v>
      </c>
      <c r="Q65" s="1886">
        <f ca="1">C40+J29</f>
        <v>58218</v>
      </c>
      <c r="R65" s="1886" t="s">
        <v>1530</v>
      </c>
    </row>
    <row r="66" spans="1:18" s="1842" customFormat="1" ht="16.5" thickBot="1">
      <c r="A66" s="1201" t="s">
        <v>1505</v>
      </c>
      <c r="B66" s="1169" t="s">
        <v>1440</v>
      </c>
      <c r="C66" s="24">
        <f ca="1">ROUND(C48*F66,1)</f>
        <v>0</v>
      </c>
      <c r="D66" s="1183" t="s">
        <v>1460</v>
      </c>
      <c r="E66" s="1169" t="s">
        <v>1423</v>
      </c>
      <c r="F66" s="357">
        <f t="shared" ca="1" si="0"/>
        <v>1.4999999999999999E-2</v>
      </c>
      <c r="O66" s="1884" t="s">
        <v>1041</v>
      </c>
      <c r="P66" s="1885" t="s">
        <v>1559</v>
      </c>
      <c r="Q66" s="1886">
        <f ca="1">L60</f>
        <v>0</v>
      </c>
      <c r="R66" s="1886" t="s">
        <v>1582</v>
      </c>
    </row>
    <row r="67" spans="1:18" s="1842" customFormat="1" ht="16.5" thickBot="1">
      <c r="A67" s="1176" t="s">
        <v>1031</v>
      </c>
      <c r="B67" s="1186" t="s">
        <v>1464</v>
      </c>
      <c r="C67" s="361">
        <f ca="1">C48-C58</f>
        <v>-229</v>
      </c>
      <c r="D67" s="1182" t="s">
        <v>1465</v>
      </c>
      <c r="E67" s="1187"/>
      <c r="F67" s="1188"/>
      <c r="O67" s="1894" t="s">
        <v>1042</v>
      </c>
      <c r="P67" s="1885" t="s">
        <v>1563</v>
      </c>
      <c r="Q67" s="1933">
        <f ca="1">L51</f>
        <v>45575</v>
      </c>
      <c r="R67" s="1886" t="s">
        <v>1583</v>
      </c>
    </row>
    <row r="68" spans="1:18" s="1842" customFormat="1" ht="16.5" thickBot="1">
      <c r="A68" s="1166" t="s">
        <v>1032</v>
      </c>
      <c r="B68" s="1167" t="s">
        <v>1486</v>
      </c>
      <c r="C68" s="346">
        <f ca="1">ROUND(C67*(1-((1+F70)/(1+F68))^F69)/(F68-F70),0)</f>
        <v>-4114</v>
      </c>
      <c r="D68" s="1184" t="s">
        <v>1470</v>
      </c>
      <c r="E68" s="1169" t="s">
        <v>1471</v>
      </c>
      <c r="F68" s="357">
        <f ca="1">F40</f>
        <v>0.05</v>
      </c>
      <c r="O68" s="1894" t="s">
        <v>1043</v>
      </c>
      <c r="P68" s="1934" t="s">
        <v>1584</v>
      </c>
      <c r="Q68" s="1886">
        <f ca="1">ROUND(Q69-Q70*Q71,0)</f>
        <v>2151</v>
      </c>
      <c r="R68" s="1886" t="s">
        <v>1051</v>
      </c>
    </row>
    <row r="69" spans="1:18" s="1842" customFormat="1" ht="13.5" thickBot="1">
      <c r="A69" s="1170"/>
      <c r="B69" s="1171"/>
      <c r="C69" s="351"/>
      <c r="D69" s="1189" t="s">
        <v>1474</v>
      </c>
      <c r="E69" s="1169" t="s">
        <v>1475</v>
      </c>
      <c r="F69" s="379">
        <f ca="1">F41</f>
        <v>46.85</v>
      </c>
      <c r="O69" s="1894" t="s">
        <v>1048</v>
      </c>
      <c r="P69" s="1934" t="s">
        <v>1585</v>
      </c>
      <c r="Q69" s="1886">
        <f ca="1">C39</f>
        <v>2151</v>
      </c>
      <c r="R69" s="1886" t="s">
        <v>1530</v>
      </c>
    </row>
    <row r="70" spans="1:18" s="1842" customFormat="1" ht="13.5" thickBot="1">
      <c r="A70" s="1173"/>
      <c r="B70" s="1174"/>
      <c r="C70" s="355"/>
      <c r="D70" s="1185"/>
      <c r="E70" s="1169" t="s">
        <v>1478</v>
      </c>
      <c r="F70" s="1275"/>
      <c r="O70" s="1894" t="s">
        <v>1049</v>
      </c>
      <c r="P70" s="1934" t="s">
        <v>1586</v>
      </c>
      <c r="Q70" s="1886">
        <f ca="1">C13</f>
        <v>0</v>
      </c>
      <c r="R70" s="1886" t="s">
        <v>1530</v>
      </c>
    </row>
    <row r="71" spans="1:18" s="1842" customFormat="1" ht="13.5" thickBot="1">
      <c r="A71" s="1190" t="s">
        <v>1033</v>
      </c>
      <c r="B71" s="1191" t="s">
        <v>1488</v>
      </c>
      <c r="C71" s="382">
        <f ca="1">ROUND(C68*10000/F71,0)</f>
        <v>-1397</v>
      </c>
      <c r="D71" s="1192" t="s">
        <v>1489</v>
      </c>
      <c r="E71" s="1193" t="s">
        <v>1490</v>
      </c>
      <c r="F71" s="385">
        <f ca="1">F43</f>
        <v>29441.34</v>
      </c>
      <c r="O71" s="1894" t="s">
        <v>1050</v>
      </c>
      <c r="P71" s="1934" t="s">
        <v>1587</v>
      </c>
      <c r="Q71" s="1897">
        <f ca="1">C76</f>
        <v>8.5000000000000006E-2</v>
      </c>
      <c r="R71" s="1886"/>
    </row>
    <row r="72" spans="1:18" s="1842" customFormat="1" ht="13.5" thickBot="1">
      <c r="B72" s="796"/>
      <c r="C72" s="796"/>
      <c r="O72" s="1894" t="s">
        <v>1044</v>
      </c>
      <c r="P72" s="1885" t="s">
        <v>1565</v>
      </c>
      <c r="Q72" s="1897">
        <f>L52</f>
        <v>0</v>
      </c>
      <c r="R72" s="1886"/>
    </row>
    <row r="73" spans="1:18" ht="16.5" thickBot="1">
      <c r="A73" s="1842"/>
      <c r="B73" s="796"/>
      <c r="C73" s="796"/>
      <c r="D73" s="1842"/>
      <c r="E73" s="1842"/>
      <c r="F73" s="1842"/>
      <c r="O73" s="1894" t="s">
        <v>1045</v>
      </c>
      <c r="P73" s="1885" t="s">
        <v>1568</v>
      </c>
      <c r="Q73" s="1886" t="e">
        <f ca="1">L58</f>
        <v>#DIV/0!</v>
      </c>
      <c r="R73" s="1886" t="s">
        <v>1569</v>
      </c>
    </row>
    <row r="74" spans="1:18" ht="13.5" thickBot="1">
      <c r="A74" s="1842"/>
      <c r="B74" s="317" t="s">
        <v>1588</v>
      </c>
      <c r="C74" s="1936"/>
      <c r="D74" s="1842"/>
      <c r="E74" s="1842"/>
      <c r="F74" s="1842"/>
      <c r="O74" s="1894" t="s">
        <v>1052</v>
      </c>
      <c r="P74" s="1885" t="str">
        <f>K59</f>
        <v>续建工期及建筑物耐用年限下的土地年期修正系数Kn</v>
      </c>
      <c r="Q74" s="1886" t="e">
        <f ca="1">L59</f>
        <v>#DIV/0!</v>
      </c>
      <c r="R74" s="1886" t="s">
        <v>1570</v>
      </c>
    </row>
    <row r="75" spans="1:18" ht="13.5" thickBot="1">
      <c r="A75" s="1842"/>
      <c r="B75" s="386" t="s">
        <v>1507</v>
      </c>
      <c r="C75" s="387">
        <f ca="1">ROUND(C13*C76,0)</f>
        <v>0</v>
      </c>
      <c r="D75" s="1842"/>
      <c r="E75" s="1842"/>
      <c r="F75" s="1842"/>
      <c r="K75" s="1868"/>
      <c r="L75" s="1842"/>
      <c r="O75" s="1884" t="s">
        <v>1046</v>
      </c>
      <c r="P75" s="1885" t="s">
        <v>1550</v>
      </c>
      <c r="Q75" s="1886">
        <f ca="1">Q65+Q66</f>
        <v>58218</v>
      </c>
      <c r="R75" s="1886" t="s">
        <v>1047</v>
      </c>
    </row>
    <row r="76" spans="1:18">
      <c r="B76" s="388" t="s">
        <v>1508</v>
      </c>
      <c r="C76" s="389">
        <f ca="1">INDIRECT("'数据-取费表'!j"&amp;$G$1)</f>
        <v>8.5000000000000006E-2</v>
      </c>
      <c r="I76" s="1842"/>
      <c r="J76" s="1842"/>
      <c r="K76" s="1868"/>
      <c r="L76" s="1842"/>
    </row>
    <row r="77" spans="1:18">
      <c r="B77" s="390" t="s">
        <v>1509</v>
      </c>
      <c r="C77" s="391"/>
      <c r="I77" s="1842"/>
      <c r="J77" s="1842"/>
      <c r="K77" s="1868"/>
      <c r="L77" s="1842"/>
    </row>
    <row r="78" spans="1:18">
      <c r="B78" s="314" t="s">
        <v>1510</v>
      </c>
      <c r="C78" s="392"/>
    </row>
    <row r="79" spans="1:18">
      <c r="B79" s="386" t="s">
        <v>1511</v>
      </c>
      <c r="C79" s="318">
        <f ca="1">1-C80</f>
        <v>1</v>
      </c>
    </row>
    <row r="80" spans="1:18">
      <c r="B80" s="386" t="s">
        <v>1512</v>
      </c>
      <c r="C80" s="318">
        <f ca="1">ROUND(C75/C39,3)</f>
        <v>0</v>
      </c>
    </row>
    <row r="81" spans="2:3">
      <c r="B81" s="314" t="s">
        <v>1513</v>
      </c>
      <c r="C81" s="282"/>
    </row>
    <row r="82" spans="2:3">
      <c r="B82" s="317" t="s">
        <v>1514</v>
      </c>
      <c r="C82" s="319">
        <f ca="1">1-C83</f>
        <v>1</v>
      </c>
    </row>
    <row r="83" spans="2:3">
      <c r="B83" s="317" t="s">
        <v>1515</v>
      </c>
      <c r="C83" s="318">
        <f ca="1">ROUND(C13/C40,3)</f>
        <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opLeftCell="A13" workbookViewId="0">
      <selection activeCell="H18" sqref="H18"/>
    </sheetView>
  </sheetViews>
  <sheetFormatPr defaultRowHeight="13.5"/>
  <cols>
    <col min="1" max="1" width="47.125" customWidth="1"/>
    <col min="2" max="2" width="0" hidden="1" customWidth="1"/>
  </cols>
  <sheetData>
    <row r="1" spans="1:13">
      <c r="A1" s="2995" t="s">
        <v>3256</v>
      </c>
      <c r="B1" s="2995" t="s">
        <v>3257</v>
      </c>
      <c r="C1" s="2995" t="s">
        <v>3258</v>
      </c>
      <c r="D1" s="2995" t="s">
        <v>3259</v>
      </c>
      <c r="E1" s="2995" t="s">
        <v>3260</v>
      </c>
      <c r="F1" s="2995" t="s">
        <v>3261</v>
      </c>
      <c r="G1" s="2995" t="s">
        <v>3262</v>
      </c>
      <c r="H1" s="2995" t="s">
        <v>3263</v>
      </c>
      <c r="I1" s="2995" t="s">
        <v>3264</v>
      </c>
      <c r="J1" s="2995" t="s">
        <v>3265</v>
      </c>
      <c r="K1" s="2995" t="s">
        <v>3266</v>
      </c>
      <c r="L1" s="2995" t="s">
        <v>3267</v>
      </c>
      <c r="M1" s="2995" t="s">
        <v>3268</v>
      </c>
    </row>
    <row r="2" spans="1:13">
      <c r="A2" s="2995" t="s">
        <v>3269</v>
      </c>
      <c r="B2" s="2995" t="s">
        <v>3044</v>
      </c>
      <c r="C2" s="2995" t="s">
        <v>3270</v>
      </c>
      <c r="D2" s="2995">
        <v>122262</v>
      </c>
      <c r="E2" s="2995">
        <v>285496</v>
      </c>
      <c r="F2" s="2995">
        <v>2.335</v>
      </c>
      <c r="G2" s="2995" t="s">
        <v>3271</v>
      </c>
      <c r="H2" s="2995" t="s">
        <v>3272</v>
      </c>
      <c r="I2" s="2995">
        <v>328500</v>
      </c>
      <c r="J2" s="2995">
        <v>328500</v>
      </c>
      <c r="K2" s="2995">
        <v>11506.29</v>
      </c>
      <c r="L2" s="2995">
        <v>0</v>
      </c>
      <c r="M2" s="2995" t="s">
        <v>3273</v>
      </c>
    </row>
    <row r="3" spans="1:13">
      <c r="A3" s="2995" t="s">
        <v>3274</v>
      </c>
      <c r="B3" s="2995" t="s">
        <v>3044</v>
      </c>
      <c r="C3" s="2995" t="s">
        <v>3270</v>
      </c>
      <c r="D3" s="2995">
        <v>71022.78</v>
      </c>
      <c r="E3" s="2995">
        <v>170414</v>
      </c>
      <c r="F3" s="2995">
        <v>2.4</v>
      </c>
      <c r="G3" s="2995" t="s">
        <v>3271</v>
      </c>
      <c r="H3" s="2995" t="s">
        <v>3275</v>
      </c>
      <c r="I3" s="2995">
        <v>450000</v>
      </c>
      <c r="J3" s="2995">
        <v>648000</v>
      </c>
      <c r="K3" s="2995">
        <v>38025.040000000001</v>
      </c>
      <c r="L3" s="2995">
        <v>44</v>
      </c>
      <c r="M3" s="2995" t="s">
        <v>3276</v>
      </c>
    </row>
    <row r="4" spans="1:13">
      <c r="A4" s="2995" t="s">
        <v>3277</v>
      </c>
      <c r="B4" s="2995" t="s">
        <v>3044</v>
      </c>
      <c r="C4" s="2995" t="s">
        <v>3278</v>
      </c>
      <c r="D4" s="2995">
        <v>66465.42</v>
      </c>
      <c r="E4" s="2995">
        <v>99698</v>
      </c>
      <c r="F4" s="2995">
        <v>1.5</v>
      </c>
      <c r="G4" s="2995" t="s">
        <v>3271</v>
      </c>
      <c r="H4" s="2995" t="s">
        <v>3279</v>
      </c>
      <c r="I4" s="2995">
        <v>185000</v>
      </c>
      <c r="J4" s="2995">
        <v>190000</v>
      </c>
      <c r="K4" s="2995">
        <v>19057.54</v>
      </c>
      <c r="L4" s="2995">
        <v>2.7</v>
      </c>
      <c r="M4" s="2995" t="s">
        <v>3273</v>
      </c>
    </row>
    <row r="5" spans="1:13">
      <c r="A5" s="2995" t="s">
        <v>3280</v>
      </c>
      <c r="B5" s="2995" t="s">
        <v>3044</v>
      </c>
      <c r="C5" s="2995" t="s">
        <v>3278</v>
      </c>
      <c r="D5" s="2995">
        <v>30890.99</v>
      </c>
      <c r="E5" s="2995">
        <v>67960</v>
      </c>
      <c r="F5" s="2995">
        <v>2.2000000000000002</v>
      </c>
      <c r="G5" s="2995" t="s">
        <v>3271</v>
      </c>
      <c r="H5" s="2995" t="s">
        <v>3281</v>
      </c>
      <c r="I5" s="2995">
        <v>160000</v>
      </c>
      <c r="J5" s="2995">
        <v>238000</v>
      </c>
      <c r="K5" s="2995">
        <v>35020.589999999997</v>
      </c>
      <c r="L5" s="2995">
        <v>48.75</v>
      </c>
      <c r="M5" s="2995" t="s">
        <v>3282</v>
      </c>
    </row>
    <row r="6" spans="1:13">
      <c r="A6" s="2995" t="s">
        <v>3283</v>
      </c>
      <c r="B6" s="2995" t="s">
        <v>3044</v>
      </c>
      <c r="C6" s="2995" t="s">
        <v>3270</v>
      </c>
      <c r="D6" s="2995">
        <v>101259.5</v>
      </c>
      <c r="E6" s="2995">
        <v>202324</v>
      </c>
      <c r="F6" s="2995">
        <v>2</v>
      </c>
      <c r="G6" s="2995" t="s">
        <v>3271</v>
      </c>
      <c r="H6" s="2995" t="s">
        <v>3284</v>
      </c>
      <c r="I6" s="2995">
        <v>370000</v>
      </c>
      <c r="J6" s="2995">
        <v>395000</v>
      </c>
      <c r="K6" s="2995">
        <v>19523.13</v>
      </c>
      <c r="L6" s="2995">
        <v>6.76</v>
      </c>
      <c r="M6" s="2995" t="s">
        <v>3285</v>
      </c>
    </row>
    <row r="7" spans="1:13" s="2997" customFormat="1">
      <c r="A7" s="2996" t="s">
        <v>3286</v>
      </c>
      <c r="B7" s="2996" t="s">
        <v>3044</v>
      </c>
      <c r="C7" s="2996" t="s">
        <v>3278</v>
      </c>
      <c r="D7" s="2996">
        <v>44353.34</v>
      </c>
      <c r="E7" s="2996">
        <v>97577</v>
      </c>
      <c r="F7" s="2996">
        <v>2.2000000000000002</v>
      </c>
      <c r="G7" s="2996" t="s">
        <v>3271</v>
      </c>
      <c r="H7" s="2996" t="s">
        <v>3287</v>
      </c>
      <c r="I7" s="2996">
        <v>175000</v>
      </c>
      <c r="J7" s="2996">
        <v>222000</v>
      </c>
      <c r="K7" s="2996">
        <v>22751.25</v>
      </c>
      <c r="L7" s="2996">
        <v>26.86</v>
      </c>
      <c r="M7" s="2996" t="s">
        <v>3288</v>
      </c>
    </row>
    <row r="8" spans="1:13" s="2997" customFormat="1">
      <c r="A8" s="2996" t="s">
        <v>3289</v>
      </c>
      <c r="B8" s="2996" t="s">
        <v>3044</v>
      </c>
      <c r="C8" s="2996" t="s">
        <v>3270</v>
      </c>
      <c r="D8" s="2996">
        <v>89347.09</v>
      </c>
      <c r="E8" s="2996">
        <v>178694</v>
      </c>
      <c r="F8" s="2996">
        <v>2</v>
      </c>
      <c r="G8" s="2996" t="s">
        <v>3271</v>
      </c>
      <c r="H8" s="2996" t="s">
        <v>3290</v>
      </c>
      <c r="I8" s="2996">
        <v>213000</v>
      </c>
      <c r="J8" s="2996">
        <v>319500</v>
      </c>
      <c r="K8" s="2996">
        <v>17879.72</v>
      </c>
      <c r="L8" s="2996">
        <v>50</v>
      </c>
      <c r="M8" s="2996" t="s">
        <v>3291</v>
      </c>
    </row>
    <row r="9" spans="1:13" s="2997" customFormat="1">
      <c r="A9" s="2996" t="s">
        <v>3292</v>
      </c>
      <c r="B9" s="2996" t="s">
        <v>3044</v>
      </c>
      <c r="C9" s="2996" t="s">
        <v>3270</v>
      </c>
      <c r="D9" s="2996">
        <v>83732.679999999993</v>
      </c>
      <c r="E9" s="2996">
        <v>167465</v>
      </c>
      <c r="F9" s="2996">
        <v>2</v>
      </c>
      <c r="G9" s="2996" t="s">
        <v>3271</v>
      </c>
      <c r="H9" s="2996" t="s">
        <v>3290</v>
      </c>
      <c r="I9" s="2996">
        <v>200000</v>
      </c>
      <c r="J9" s="2996">
        <v>300000</v>
      </c>
      <c r="K9" s="2996">
        <v>17914.18</v>
      </c>
      <c r="L9" s="2996">
        <v>50</v>
      </c>
      <c r="M9" s="2996" t="s">
        <v>3291</v>
      </c>
    </row>
    <row r="10" spans="1:13">
      <c r="A10" s="2995" t="s">
        <v>3293</v>
      </c>
      <c r="B10" s="2995" t="s">
        <v>3044</v>
      </c>
      <c r="C10" s="2995" t="s">
        <v>3270</v>
      </c>
      <c r="D10" s="2995">
        <v>52140.02</v>
      </c>
      <c r="E10" s="2995">
        <v>83940</v>
      </c>
      <c r="F10" s="2995">
        <v>1.6</v>
      </c>
      <c r="G10" s="2995" t="s">
        <v>3271</v>
      </c>
      <c r="H10" s="2995" t="s">
        <v>3294</v>
      </c>
      <c r="I10" s="2995">
        <v>50450</v>
      </c>
      <c r="J10" s="2995">
        <v>50450</v>
      </c>
      <c r="K10" s="2995">
        <v>6010.25</v>
      </c>
      <c r="L10" s="2995">
        <v>0</v>
      </c>
      <c r="M10" s="2995" t="s">
        <v>3295</v>
      </c>
    </row>
    <row r="11" spans="1:13">
      <c r="A11" s="2995" t="s">
        <v>3296</v>
      </c>
      <c r="B11" s="2995" t="s">
        <v>3044</v>
      </c>
      <c r="C11" s="2995" t="s">
        <v>3270</v>
      </c>
      <c r="D11" s="2995">
        <v>42685.77</v>
      </c>
      <c r="E11" s="2995">
        <v>124350</v>
      </c>
      <c r="F11" s="2995">
        <v>2.91</v>
      </c>
      <c r="G11" s="2995" t="s">
        <v>3271</v>
      </c>
      <c r="H11" s="2995" t="s">
        <v>3297</v>
      </c>
      <c r="I11" s="2995">
        <v>126100</v>
      </c>
      <c r="J11" s="2995">
        <v>172000</v>
      </c>
      <c r="K11" s="2995">
        <v>13831.93</v>
      </c>
      <c r="L11" s="2995">
        <v>36.4</v>
      </c>
      <c r="M11" s="2995" t="s">
        <v>3298</v>
      </c>
    </row>
    <row r="12" spans="1:13">
      <c r="A12" s="2995" t="s">
        <v>3299</v>
      </c>
      <c r="B12" s="2995" t="s">
        <v>3044</v>
      </c>
      <c r="C12" s="2995" t="s">
        <v>3270</v>
      </c>
      <c r="D12" s="2995">
        <v>90996.11</v>
      </c>
      <c r="E12" s="2995">
        <v>343161</v>
      </c>
      <c r="F12" s="2995">
        <v>3.77</v>
      </c>
      <c r="G12" s="2995" t="s">
        <v>3271</v>
      </c>
      <c r="H12" s="2995" t="s">
        <v>3297</v>
      </c>
      <c r="I12" s="2995">
        <v>330000</v>
      </c>
      <c r="J12" s="2995">
        <v>330000</v>
      </c>
      <c r="K12" s="2995">
        <v>9616.4699999999993</v>
      </c>
      <c r="L12" s="2995">
        <v>0</v>
      </c>
      <c r="M12" s="2995" t="s">
        <v>3298</v>
      </c>
    </row>
    <row r="13" spans="1:13">
      <c r="A13" s="2995" t="s">
        <v>3300</v>
      </c>
      <c r="B13" s="2995" t="s">
        <v>3044</v>
      </c>
      <c r="C13" s="2995" t="s">
        <v>3270</v>
      </c>
      <c r="D13" s="2995">
        <v>73293.58</v>
      </c>
      <c r="E13" s="2995">
        <v>143980</v>
      </c>
      <c r="F13" s="2995">
        <v>1.96</v>
      </c>
      <c r="G13" s="2995" t="s">
        <v>3271</v>
      </c>
      <c r="H13" s="2995" t="s">
        <v>3301</v>
      </c>
      <c r="I13" s="2995">
        <v>131500</v>
      </c>
      <c r="J13" s="2995">
        <v>197200</v>
      </c>
      <c r="K13" s="2995">
        <v>13696.35</v>
      </c>
      <c r="L13" s="2995">
        <v>49.96</v>
      </c>
      <c r="M13" s="2995" t="s">
        <v>3302</v>
      </c>
    </row>
    <row r="14" spans="1:13">
      <c r="A14" s="2995" t="s">
        <v>3303</v>
      </c>
      <c r="B14" s="2995" t="s">
        <v>3044</v>
      </c>
      <c r="C14" s="2995" t="s">
        <v>3270</v>
      </c>
      <c r="D14" s="2995">
        <v>94198.62</v>
      </c>
      <c r="E14" s="2995">
        <v>187481</v>
      </c>
      <c r="F14" s="2995">
        <v>2</v>
      </c>
      <c r="G14" s="2995" t="s">
        <v>3271</v>
      </c>
      <c r="H14" s="2995" t="s">
        <v>3301</v>
      </c>
      <c r="I14" s="2995">
        <v>168300</v>
      </c>
      <c r="J14" s="2995">
        <v>252400</v>
      </c>
      <c r="K14" s="2995">
        <v>13462.7</v>
      </c>
      <c r="L14" s="2995">
        <v>49.97</v>
      </c>
      <c r="M14" s="2995" t="s">
        <v>3302</v>
      </c>
    </row>
    <row r="15" spans="1:13">
      <c r="A15" s="2995" t="s">
        <v>3304</v>
      </c>
      <c r="B15" s="2995" t="s">
        <v>3044</v>
      </c>
      <c r="C15" s="2995" t="s">
        <v>3270</v>
      </c>
      <c r="D15" s="2995">
        <v>48775.519999999997</v>
      </c>
      <c r="E15" s="2995">
        <v>121939</v>
      </c>
      <c r="F15" s="2995">
        <v>2.5</v>
      </c>
      <c r="G15" s="2995" t="s">
        <v>3271</v>
      </c>
      <c r="H15" s="2995" t="s">
        <v>3305</v>
      </c>
      <c r="I15" s="2995">
        <v>95000</v>
      </c>
      <c r="J15" s="2995">
        <v>142500</v>
      </c>
      <c r="K15" s="2995">
        <v>11686.17</v>
      </c>
      <c r="L15" s="2995">
        <v>50</v>
      </c>
      <c r="M15" s="2995" t="s">
        <v>3306</v>
      </c>
    </row>
    <row r="16" spans="1:13">
      <c r="A16" s="2995" t="s">
        <v>3307</v>
      </c>
      <c r="B16" s="2995" t="s">
        <v>3044</v>
      </c>
      <c r="C16" s="2995" t="s">
        <v>3270</v>
      </c>
      <c r="D16" s="2995">
        <v>83892.99</v>
      </c>
      <c r="E16" s="2995">
        <v>209732</v>
      </c>
      <c r="F16" s="2995">
        <v>2.5</v>
      </c>
      <c r="G16" s="2995" t="s">
        <v>3271</v>
      </c>
      <c r="H16" s="2995" t="s">
        <v>3305</v>
      </c>
      <c r="I16" s="2995">
        <v>185000</v>
      </c>
      <c r="J16" s="2995">
        <v>277500</v>
      </c>
      <c r="K16" s="2995">
        <v>13231.17</v>
      </c>
      <c r="L16" s="2995">
        <v>50</v>
      </c>
      <c r="M16" s="2995" t="s">
        <v>3308</v>
      </c>
    </row>
    <row r="19" spans="8:8">
      <c r="H19" s="2998" t="s">
        <v>3309</v>
      </c>
    </row>
  </sheetData>
  <phoneticPr fontId="143" type="noConversion"/>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25" sqref="R25"/>
    </sheetView>
  </sheetViews>
  <sheetFormatPr defaultRowHeight="13.5"/>
  <sheetData/>
  <phoneticPr fontId="143" type="noConversion"/>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5"/>
  <sheetViews>
    <sheetView workbookViewId="0">
      <selection activeCell="H8" sqref="H8"/>
    </sheetView>
  </sheetViews>
  <sheetFormatPr defaultRowHeight="19.5" customHeight="1"/>
  <cols>
    <col min="1" max="1" width="5.125" style="3020" customWidth="1"/>
    <col min="2" max="2" width="18" style="3020" customWidth="1"/>
    <col min="3" max="4" width="13.25" style="3020" customWidth="1"/>
    <col min="5" max="5" width="10.75" style="3041" customWidth="1"/>
    <col min="6" max="6" width="11.75" style="3020" customWidth="1"/>
    <col min="7" max="7" width="15.625" style="3020" customWidth="1"/>
    <col min="8" max="8" width="11.75" style="3020" customWidth="1"/>
    <col min="9" max="9" width="20" style="3020" customWidth="1"/>
    <col min="10" max="16384" width="9" style="3020"/>
  </cols>
  <sheetData>
    <row r="1" spans="1:10" ht="12.75" thickBot="1">
      <c r="B1" s="3021" t="s">
        <v>3311</v>
      </c>
      <c r="C1" s="3022" t="s">
        <v>3169</v>
      </c>
      <c r="D1" s="3023" t="s">
        <v>3312</v>
      </c>
      <c r="E1" s="3024">
        <f>SUM(E3:E4)</f>
        <v>87010.82</v>
      </c>
      <c r="F1" s="3025">
        <f>F3+F4</f>
        <v>6</v>
      </c>
    </row>
    <row r="2" spans="1:10" ht="22.5">
      <c r="B2" s="3026" t="s">
        <v>3313</v>
      </c>
      <c r="C2" s="3027" t="s">
        <v>3314</v>
      </c>
      <c r="D2" s="3028" t="s">
        <v>3315</v>
      </c>
      <c r="E2" s="3028" t="s">
        <v>3316</v>
      </c>
      <c r="F2" s="3029" t="s">
        <v>3317</v>
      </c>
      <c r="G2" s="3030" t="s">
        <v>3315</v>
      </c>
      <c r="H2" s="3031" t="s">
        <v>3318</v>
      </c>
      <c r="I2" s="3032" t="s">
        <v>3319</v>
      </c>
    </row>
    <row r="3" spans="1:10" ht="12">
      <c r="B3" s="3026" t="s">
        <v>3320</v>
      </c>
      <c r="C3" s="3033">
        <f>D3*10000/E3</f>
        <v>2695.4372750582434</v>
      </c>
      <c r="D3" s="3023">
        <f>D11-D4</f>
        <v>10813</v>
      </c>
      <c r="E3" s="3034">
        <f>'数据-汇总表'!F19</f>
        <v>40115.94</v>
      </c>
      <c r="F3" s="3035">
        <v>4</v>
      </c>
      <c r="G3" s="3036">
        <f>D11-G4</f>
        <v>11936</v>
      </c>
      <c r="H3" s="3037">
        <f>ROUND(G3*10000/E3,0)</f>
        <v>2975</v>
      </c>
    </row>
    <row r="4" spans="1:10" ht="12.75" thickBot="1">
      <c r="B4" s="3038" t="s">
        <v>3321</v>
      </c>
      <c r="C4" s="3039">
        <f>D4*10000/E4</f>
        <v>2889.4412353758021</v>
      </c>
      <c r="D4" s="3040">
        <f>ROUND(D7+(D8+D9)*E4/E1+D13,0)</f>
        <v>13550</v>
      </c>
      <c r="E4" s="3041">
        <f>规证整理!H25+规证整理!J25+规证整理!H45+规证整理!J45+规证整理!H11+规证整理!J11</f>
        <v>46894.880000000005</v>
      </c>
      <c r="F4" s="3042">
        <v>2</v>
      </c>
      <c r="G4" s="3043">
        <f>ROUND((D6+D9)*E4/E1+D13,0)</f>
        <v>12427</v>
      </c>
      <c r="H4" s="3044">
        <f>ROUND(G4*10000/E4,0)</f>
        <v>2650</v>
      </c>
    </row>
    <row r="5" spans="1:10" ht="12">
      <c r="A5" s="3045" t="s">
        <v>3322</v>
      </c>
      <c r="B5" s="3046" t="s">
        <v>3323</v>
      </c>
      <c r="C5" s="3047" t="s">
        <v>3324</v>
      </c>
      <c r="D5" s="3047" t="s">
        <v>3315</v>
      </c>
      <c r="E5" s="3048" t="s">
        <v>3325</v>
      </c>
      <c r="F5" s="3047" t="s">
        <v>3326</v>
      </c>
      <c r="G5" s="3028" t="s">
        <v>3327</v>
      </c>
      <c r="H5" s="3028" t="s">
        <v>3328</v>
      </c>
      <c r="I5" s="3049" t="s">
        <v>3329</v>
      </c>
    </row>
    <row r="6" spans="1:10" ht="12">
      <c r="A6" s="3050" t="s">
        <v>3330</v>
      </c>
      <c r="B6" s="3051" t="s">
        <v>3331</v>
      </c>
      <c r="C6" s="3052">
        <f>C7+C8</f>
        <v>1540</v>
      </c>
      <c r="D6" s="3052">
        <f>D7+D8</f>
        <v>13399.650000000001</v>
      </c>
      <c r="E6" s="3053">
        <f>E7+E8</f>
        <v>0.55000000000000004</v>
      </c>
      <c r="F6" s="3028">
        <f>F7+F8</f>
        <v>13399</v>
      </c>
      <c r="G6" s="3028"/>
      <c r="H6" s="3054">
        <f>H7*E7+H8*E8</f>
        <v>0.55000000000000004</v>
      </c>
      <c r="I6" s="3055"/>
    </row>
    <row r="7" spans="1:10" s="3064" customFormat="1" ht="11.25">
      <c r="A7" s="3056" t="s">
        <v>3332</v>
      </c>
      <c r="B7" s="3057" t="s">
        <v>3333</v>
      </c>
      <c r="C7" s="3058">
        <f>ROUND($C$11*E7,0)</f>
        <v>280</v>
      </c>
      <c r="D7" s="3058">
        <f>$D$11*E7</f>
        <v>2436.3000000000002</v>
      </c>
      <c r="E7" s="3059">
        <v>0.1</v>
      </c>
      <c r="F7" s="3060">
        <f>ROUND(D7*H7,0)</f>
        <v>2436</v>
      </c>
      <c r="G7" s="3061" t="s">
        <v>3334</v>
      </c>
      <c r="H7" s="3062">
        <v>1</v>
      </c>
      <c r="I7" s="3063"/>
    </row>
    <row r="8" spans="1:10" s="3064" customFormat="1" ht="11.25">
      <c r="A8" s="3056" t="s">
        <v>3335</v>
      </c>
      <c r="B8" s="3057" t="s">
        <v>3336</v>
      </c>
      <c r="C8" s="3058">
        <f t="shared" ref="C8:C10" si="0">ROUND($C$11*E8,0)</f>
        <v>1260</v>
      </c>
      <c r="D8" s="3058">
        <f>$D$11*E8</f>
        <v>10963.35</v>
      </c>
      <c r="E8" s="3059">
        <v>0.45</v>
      </c>
      <c r="F8" s="3060">
        <f t="shared" ref="F8:F10" si="1">ROUND(D8*H8,0)</f>
        <v>10963</v>
      </c>
      <c r="G8" s="3061" t="s">
        <v>3337</v>
      </c>
      <c r="H8" s="3065">
        <v>1</v>
      </c>
      <c r="I8" s="3066" t="str">
        <f>"地下造价总额占比为"&amp;TEXT(D4/D11,"0.0%")</f>
        <v>地下造价总额占比为55.6%</v>
      </c>
      <c r="J8" s="3067" t="s">
        <v>3338</v>
      </c>
    </row>
    <row r="9" spans="1:10" ht="12">
      <c r="A9" s="3050" t="s">
        <v>3339</v>
      </c>
      <c r="B9" s="3026" t="s">
        <v>3340</v>
      </c>
      <c r="C9" s="3068">
        <f t="shared" si="0"/>
        <v>840</v>
      </c>
      <c r="D9" s="3068">
        <f>$D$11*E9</f>
        <v>7308.9</v>
      </c>
      <c r="E9" s="3069">
        <v>0.3</v>
      </c>
      <c r="F9" s="3023">
        <f t="shared" si="1"/>
        <v>0</v>
      </c>
      <c r="G9" s="3070"/>
      <c r="H9" s="3071">
        <v>0</v>
      </c>
      <c r="I9" s="3072"/>
    </row>
    <row r="10" spans="1:10" ht="12">
      <c r="A10" s="3050" t="s">
        <v>3341</v>
      </c>
      <c r="B10" s="3021" t="s">
        <v>3342</v>
      </c>
      <c r="C10" s="3068">
        <f t="shared" si="0"/>
        <v>420</v>
      </c>
      <c r="D10" s="3068">
        <f>$D$11*E10</f>
        <v>3654.45</v>
      </c>
      <c r="E10" s="3069">
        <v>0.15</v>
      </c>
      <c r="F10" s="3023">
        <f t="shared" si="1"/>
        <v>0</v>
      </c>
      <c r="G10" s="3073"/>
      <c r="H10" s="3074">
        <v>0</v>
      </c>
      <c r="I10" s="3075"/>
    </row>
    <row r="11" spans="1:10" s="3082" customFormat="1" ht="12.75" thickBot="1">
      <c r="A11" s="3455" t="s">
        <v>3343</v>
      </c>
      <c r="B11" s="3456"/>
      <c r="C11" s="3076">
        <v>2800</v>
      </c>
      <c r="D11" s="3077">
        <f>ROUND(C11*$E$1/10000,0)</f>
        <v>24363</v>
      </c>
      <c r="E11" s="3078">
        <f>SUM(E7:E10)</f>
        <v>1</v>
      </c>
      <c r="F11" s="3077">
        <f>SUM(F7:F10,0)</f>
        <v>13399</v>
      </c>
      <c r="G11" s="3079"/>
      <c r="H11" s="3080">
        <f>ROUND(H7*E7+H8*E8+H9*E9+H10*E10,3)</f>
        <v>0.55000000000000004</v>
      </c>
      <c r="I11" s="3081"/>
    </row>
    <row r="13" spans="1:10" ht="12">
      <c r="B13" s="3023" t="s">
        <v>3344</v>
      </c>
      <c r="C13" s="3034">
        <v>270</v>
      </c>
      <c r="D13" s="3023">
        <f>ROUND(C13*E4/10000,0)</f>
        <v>1266</v>
      </c>
    </row>
    <row r="15" spans="1:10" ht="14.25">
      <c r="B15" s="3083" t="s">
        <v>3345</v>
      </c>
    </row>
    <row r="16" spans="1:10" ht="12">
      <c r="A16" s="3020">
        <v>1</v>
      </c>
      <c r="B16" s="3020" t="s">
        <v>3346</v>
      </c>
    </row>
    <row r="17" spans="1:5" ht="12">
      <c r="A17" s="3020">
        <v>2</v>
      </c>
      <c r="B17" s="3020" t="s">
        <v>3347</v>
      </c>
    </row>
    <row r="18" spans="1:5" ht="12">
      <c r="A18" s="3020">
        <v>3</v>
      </c>
      <c r="B18" s="3020" t="s">
        <v>3348</v>
      </c>
    </row>
    <row r="19" spans="1:5" ht="12">
      <c r="A19" s="3020">
        <v>4</v>
      </c>
      <c r="B19" s="3020" t="s">
        <v>3349</v>
      </c>
    </row>
    <row r="20" spans="1:5" ht="12">
      <c r="A20" s="3020">
        <v>5</v>
      </c>
      <c r="B20" s="3020" t="s">
        <v>3350</v>
      </c>
      <c r="E20" s="3020"/>
    </row>
    <row r="22" spans="1:5" ht="14.25">
      <c r="B22" s="3083" t="s">
        <v>3351</v>
      </c>
    </row>
    <row r="23" spans="1:5" ht="12">
      <c r="A23" s="3020">
        <v>1</v>
      </c>
      <c r="B23" s="3020" t="s">
        <v>3352</v>
      </c>
    </row>
    <row r="24" spans="1:5" ht="12">
      <c r="A24" s="3020">
        <v>2</v>
      </c>
      <c r="B24" s="3020" t="s">
        <v>3353</v>
      </c>
    </row>
    <row r="25" spans="1:5" ht="12">
      <c r="A25" s="3020">
        <v>3</v>
      </c>
      <c r="B25" s="3020" t="s">
        <v>3354</v>
      </c>
    </row>
  </sheetData>
  <mergeCells count="1">
    <mergeCell ref="A11:B11"/>
  </mergeCells>
  <phoneticPr fontId="143" type="noConversion"/>
  <dataValidations count="1">
    <dataValidation type="list" allowBlank="1" showInputMessage="1" showErrorMessage="1" sqref="C1">
      <formula1>"钢混,砖混,钢"</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137</vt:i4>
      </vt:variant>
    </vt:vector>
  </HeadingPairs>
  <TitlesOfParts>
    <vt:vector size="18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规证整理</vt:lpstr>
      <vt:lpstr>数据-汇总表</vt:lpstr>
      <vt:lpstr>数据-取费表</vt:lpstr>
      <vt:lpstr>估价对象房地状况</vt:lpstr>
      <vt:lpstr>系统读取表</vt:lpstr>
      <vt:lpstr>结果表</vt:lpstr>
      <vt:lpstr>成本法</vt:lpstr>
      <vt:lpstr>成本法 (元)</vt:lpstr>
      <vt:lpstr>土地比较法-住宅、综合</vt:lpstr>
      <vt:lpstr>基准地价修正</vt:lpstr>
      <vt:lpstr>地价</vt:lpstr>
      <vt:lpstr>假设开发法</vt:lpstr>
      <vt:lpstr>比较法-住宅</vt:lpstr>
      <vt:lpstr>收益法（地下仓储）</vt:lpstr>
      <vt:lpstr>收益法 (元)</vt:lpstr>
      <vt:lpstr>收益法（汇总）</vt:lpstr>
      <vt:lpstr>酒店收入计算</vt:lpstr>
      <vt:lpstr>比较法-商业</vt:lpstr>
      <vt:lpstr>比较法-办公</vt:lpstr>
      <vt:lpstr>比较法-工业</vt:lpstr>
      <vt:lpstr>比较法-车位</vt:lpstr>
      <vt:lpstr>比较法-仓储</vt:lpstr>
      <vt:lpstr>土地比较法-工业</vt:lpstr>
      <vt:lpstr>修正</vt:lpstr>
      <vt:lpstr>容积率修正</vt:lpstr>
      <vt:lpstr>基准地价（汇总）</vt:lpstr>
      <vt:lpstr>典型户型修正</vt:lpstr>
      <vt:lpstr>成本法（废）</vt:lpstr>
      <vt:lpstr>区片价</vt:lpstr>
      <vt:lpstr>因素修正幅度</vt:lpstr>
      <vt:lpstr>存贷款利率</vt:lpstr>
      <vt:lpstr>区片价（范围）</vt:lpstr>
      <vt:lpstr>收益法（地下车库）</vt:lpstr>
      <vt:lpstr>收益法叠拼车位</vt:lpstr>
      <vt:lpstr>收益法（商品房仓储）</vt:lpstr>
      <vt:lpstr>土地案例及位置</vt:lpstr>
      <vt:lpstr>住宅案例位置</vt:lpstr>
      <vt:lpstr>Sheet1</vt:lpstr>
      <vt:lpstr>估价师及机构信息!Print_Area</vt:lpstr>
      <vt:lpstr>'收益法 (元)'!Print_Area</vt:lpstr>
      <vt:lpstr>'收益法（地下仓储）'!Print_Area</vt:lpstr>
      <vt:lpstr>'收益法（地下车库）'!Print_Area</vt:lpstr>
      <vt:lpstr>'收益法（商品房仓储）'!Print_Area</vt:lpstr>
      <vt:lpstr>收益法叠拼车位!Print_Area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2018-01-23T08:36:00Z</dcterms:modified>
</cp:coreProperties>
</file>