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10" yWindow="-75" windowWidth="12120" windowHeight="9645" tabRatio="895"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规证整理"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基准地价修正" sheetId="43" state="hidden" r:id="rId23"/>
    <sheet name="地价" sheetId="71" state="hidden" r:id="rId24"/>
    <sheet name="假设开发法" sheetId="12" r:id="rId25"/>
    <sheet name="比较法-住宅" sheetId="21" r:id="rId26"/>
    <sheet name="收益法（地下仓储）"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78" r:id="rId46"/>
    <sheet name="收益法叠拼车位" sheetId="82" r:id="rId47"/>
    <sheet name="收益法（商品房仓储）" sheetId="83" r:id="rId48"/>
    <sheet name="土地案例及位置" sheetId="79" r:id="rId49"/>
    <sheet name="住宅案例位置" sheetId="80" r:id="rId50"/>
    <sheet name="Sheet1" sheetId="81"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'收益法（地下仓储）'!$A$1:$AK$69</definedName>
    <definedName name="_xlnm.Print_Area" localSheetId="45">'收益法（地下车库）'!$A$1:$AK$69</definedName>
    <definedName name="_xlnm.Print_Area" localSheetId="47">'收益法（商品房仓储）'!$A$1:$AK$69</definedName>
    <definedName name="_xlnm.Print_Area" localSheetId="46">收益法叠拼车位!$A$1:$AK$69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O79" i="77" l="1"/>
  <c r="J79" i="77"/>
  <c r="L79" i="77"/>
  <c r="L80" i="77" s="1"/>
  <c r="K79" i="77"/>
  <c r="E79" i="77"/>
  <c r="E80" i="77" s="1"/>
  <c r="C79" i="77"/>
  <c r="K80" i="77"/>
  <c r="M79" i="77"/>
  <c r="G79" i="77"/>
  <c r="F79" i="77" l="1"/>
  <c r="O36" i="3" l="1"/>
  <c r="O35" i="3"/>
  <c r="H78" i="77" s="1"/>
  <c r="K15" i="3"/>
  <c r="I15" i="3"/>
  <c r="K14" i="3"/>
  <c r="I14" i="3"/>
  <c r="K13" i="3"/>
  <c r="I13" i="3"/>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D24" i="83" l="1"/>
  <c r="P61" i="83"/>
  <c r="D22" i="83"/>
  <c r="C76" i="83"/>
  <c r="M22" i="83"/>
  <c r="F6" i="83"/>
  <c r="F42" i="83"/>
  <c r="F9" i="83"/>
  <c r="M9" i="83"/>
  <c r="F13" i="83"/>
  <c r="M26" i="83"/>
  <c r="M28" i="83"/>
  <c r="M27" i="83"/>
  <c r="F16" i="83"/>
  <c r="L48" i="83"/>
  <c r="F36" i="83"/>
  <c r="F26" i="83"/>
  <c r="M8" i="83"/>
  <c r="F8" i="83"/>
  <c r="M23" i="83"/>
  <c r="F37" i="83"/>
  <c r="F40" i="83"/>
  <c r="F38" i="83"/>
  <c r="J15" i="83"/>
  <c r="M6" i="83"/>
  <c r="M24" i="83"/>
  <c r="L47" i="83"/>
  <c r="C27" i="83" l="1"/>
  <c r="F65" i="83"/>
  <c r="F51" i="83"/>
  <c r="F68" i="83"/>
  <c r="L57" i="83"/>
  <c r="L56" i="83"/>
  <c r="J57" i="83"/>
  <c r="J55" i="83" s="1"/>
  <c r="J58" i="83" s="1"/>
  <c r="Q50" i="83" s="1"/>
  <c r="J60" i="83"/>
  <c r="Q48" i="83" s="1"/>
  <c r="I54" i="83"/>
  <c r="L60" i="83"/>
  <c r="J59" i="83"/>
  <c r="F64" i="83"/>
  <c r="F66" i="83"/>
  <c r="N59" i="83"/>
  <c r="L58" i="83"/>
  <c r="Q71"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E11" i="81"/>
  <c r="C10" i="81"/>
  <c r="C9" i="81"/>
  <c r="C8" i="81"/>
  <c r="C7" i="81"/>
  <c r="C6" i="81" s="1"/>
  <c r="E6" i="81"/>
  <c r="F1" i="81"/>
  <c r="Q60" i="83" l="1"/>
  <c r="Q73" i="83"/>
  <c r="Q66" i="83"/>
  <c r="Q57" i="83"/>
  <c r="L46" i="83"/>
  <c r="D24" i="82"/>
  <c r="P61" i="82"/>
  <c r="D22" i="82"/>
  <c r="C76" i="82"/>
  <c r="M9" i="82"/>
  <c r="M26" i="82"/>
  <c r="L47" i="82"/>
  <c r="M24" i="82"/>
  <c r="F42" i="82"/>
  <c r="M28" i="82"/>
  <c r="M8" i="82"/>
  <c r="M27" i="82"/>
  <c r="J15" i="82"/>
  <c r="F8" i="82"/>
  <c r="F36" i="82"/>
  <c r="F6" i="82"/>
  <c r="L48" i="82"/>
  <c r="M6" i="82"/>
  <c r="F38" i="82"/>
  <c r="M22" i="82"/>
  <c r="F40" i="82"/>
  <c r="F9" i="82"/>
  <c r="F13" i="82"/>
  <c r="F37" i="82"/>
  <c r="M23" i="82"/>
  <c r="F16" i="82"/>
  <c r="F26" i="82"/>
  <c r="F64" i="82" l="1"/>
  <c r="F66" i="82"/>
  <c r="F51" i="82"/>
  <c r="F68" i="82"/>
  <c r="L57" i="82"/>
  <c r="L56" i="82"/>
  <c r="J57" i="82"/>
  <c r="J55" i="82" s="1"/>
  <c r="J58" i="82" s="1"/>
  <c r="Q50" i="82" s="1"/>
  <c r="I54" i="82"/>
  <c r="L60" i="82"/>
  <c r="C27" i="82"/>
  <c r="F65" i="82"/>
  <c r="N59" i="82"/>
  <c r="L58" i="82"/>
  <c r="Q71" i="82"/>
  <c r="H11" i="81"/>
  <c r="H6" i="81"/>
  <c r="Q60" i="82" l="1"/>
  <c r="Q73" i="82"/>
  <c r="Q66" i="82"/>
  <c r="Q57" i="82"/>
  <c r="G78" i="43" l="1"/>
  <c r="G77" i="43"/>
  <c r="G76" i="43"/>
  <c r="G75" i="43"/>
  <c r="G74" i="43"/>
  <c r="G73" i="43"/>
  <c r="G72" i="43"/>
  <c r="G71" i="43"/>
  <c r="G70" i="43"/>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D24" i="78" l="1"/>
  <c r="P61" i="78"/>
  <c r="D22" i="78"/>
  <c r="J51" i="78"/>
  <c r="F6" i="78"/>
  <c r="J15" i="78"/>
  <c r="F26" i="78"/>
  <c r="M9" i="78"/>
  <c r="M22" i="78"/>
  <c r="F8" i="78"/>
  <c r="F9" i="78"/>
  <c r="F36" i="78"/>
  <c r="F16" i="78"/>
  <c r="M24" i="78"/>
  <c r="M6" i="78"/>
  <c r="F37" i="78"/>
  <c r="M26" i="78"/>
  <c r="M27" i="78"/>
  <c r="M23" i="78"/>
  <c r="M28" i="78"/>
  <c r="F40" i="78"/>
  <c r="F13" i="78"/>
  <c r="F38" i="78"/>
  <c r="C76" i="78"/>
  <c r="F42" i="78"/>
  <c r="M8" i="78"/>
  <c r="C27" i="78" l="1"/>
  <c r="F65" i="78"/>
  <c r="F51" i="78"/>
  <c r="F68" i="78"/>
  <c r="F64" i="78"/>
  <c r="F66" i="78"/>
  <c r="Q71" i="78"/>
  <c r="F20" i="6" l="1"/>
  <c r="AL38" i="3"/>
  <c r="AN37" i="3"/>
  <c r="AL37" i="3"/>
  <c r="AT39" i="3"/>
  <c r="M39" i="3"/>
  <c r="AT40" i="3"/>
  <c r="C39" i="3"/>
  <c r="C38" i="3"/>
  <c r="C37" i="3"/>
  <c r="M36" i="3"/>
  <c r="J78" i="77" s="1"/>
  <c r="AF36" i="3"/>
  <c r="AT35" i="3"/>
  <c r="K36" i="3"/>
  <c r="K35" i="3"/>
  <c r="I78" i="77" s="1"/>
  <c r="G78" i="77" s="1"/>
  <c r="AN36" i="3"/>
  <c r="AN35" i="3"/>
  <c r="AD36" i="3"/>
  <c r="AD35" i="3"/>
  <c r="N78" i="77" s="1"/>
  <c r="C36" i="3"/>
  <c r="C35" i="3"/>
  <c r="B35" i="3"/>
  <c r="M34" i="3"/>
  <c r="C34" i="3"/>
  <c r="AN24" i="3"/>
  <c r="AN25" i="3"/>
  <c r="AN26" i="3"/>
  <c r="AN27" i="3"/>
  <c r="AN28" i="3"/>
  <c r="AN29" i="3"/>
  <c r="AN30" i="3"/>
  <c r="AN31" i="3"/>
  <c r="AN32" i="3"/>
  <c r="AN33" i="3"/>
  <c r="AN23" i="3"/>
  <c r="K24" i="3"/>
  <c r="K25" i="3"/>
  <c r="K26" i="3"/>
  <c r="K27" i="3"/>
  <c r="K28" i="3"/>
  <c r="K29" i="3"/>
  <c r="K30" i="3"/>
  <c r="K31" i="3"/>
  <c r="K32" i="3"/>
  <c r="K33" i="3"/>
  <c r="K23" i="3"/>
  <c r="I24" i="3"/>
  <c r="I25" i="3"/>
  <c r="I26" i="3"/>
  <c r="I27" i="3"/>
  <c r="I28" i="3"/>
  <c r="I29" i="3"/>
  <c r="I30" i="3"/>
  <c r="I31" i="3"/>
  <c r="I32" i="3"/>
  <c r="I33" i="3"/>
  <c r="I23" i="3"/>
  <c r="C33" i="3"/>
  <c r="C24" i="3"/>
  <c r="C25" i="3"/>
  <c r="C26" i="3"/>
  <c r="C27" i="3"/>
  <c r="C28" i="3"/>
  <c r="C29" i="3"/>
  <c r="C30" i="3"/>
  <c r="C31" i="3"/>
  <c r="C32" i="3"/>
  <c r="C23" i="3"/>
  <c r="B23" i="3"/>
  <c r="AT22" i="3"/>
  <c r="M22" i="3"/>
  <c r="C22" i="3"/>
  <c r="AN18" i="3"/>
  <c r="AN19" i="3"/>
  <c r="AN20" i="3"/>
  <c r="AN21" i="3"/>
  <c r="AN17" i="3"/>
  <c r="AN14" i="3"/>
  <c r="AN15" i="3"/>
  <c r="AN13" i="3"/>
  <c r="K18" i="3"/>
  <c r="K19" i="3"/>
  <c r="K20" i="3"/>
  <c r="K21" i="3"/>
  <c r="K17" i="3"/>
  <c r="I77" i="77" s="1"/>
  <c r="I80" i="77" s="1"/>
  <c r="I18" i="3"/>
  <c r="I19" i="3"/>
  <c r="I20" i="3"/>
  <c r="I21" i="3"/>
  <c r="I17" i="3"/>
  <c r="C18" i="3"/>
  <c r="C19" i="3"/>
  <c r="C20" i="3"/>
  <c r="C21" i="3"/>
  <c r="C17" i="3"/>
  <c r="B17" i="3"/>
  <c r="AT16" i="3"/>
  <c r="M16" i="3"/>
  <c r="C16" i="3"/>
  <c r="A13" i="3"/>
  <c r="C15" i="3"/>
  <c r="C14" i="3"/>
  <c r="C13" i="3"/>
  <c r="N80" i="77" l="1"/>
  <c r="G23" i="6"/>
  <c r="J77" i="77"/>
  <c r="J80" i="77" s="1"/>
  <c r="F19" i="6"/>
  <c r="E3" i="81" s="1"/>
  <c r="O24" i="1"/>
  <c r="O77" i="77"/>
  <c r="G24" i="6"/>
  <c r="G21" i="6"/>
  <c r="D38" i="43" s="1"/>
  <c r="G22" i="6"/>
  <c r="D39" i="43" s="1"/>
  <c r="K10" i="77"/>
  <c r="K11" i="77" s="1"/>
  <c r="J10" i="77"/>
  <c r="J11" i="77" s="1"/>
  <c r="E10" i="77"/>
  <c r="C10" i="77"/>
  <c r="I8" i="77"/>
  <c r="I11" i="77" s="1"/>
  <c r="H8" i="77"/>
  <c r="H11" i="77" s="1"/>
  <c r="G8" i="77"/>
  <c r="G11" i="77" s="1"/>
  <c r="E8" i="77"/>
  <c r="E11" i="77" s="1"/>
  <c r="D8" i="77"/>
  <c r="C8" i="77"/>
  <c r="C11" i="77" s="1"/>
  <c r="C22" i="77"/>
  <c r="D22" i="77"/>
  <c r="D25" i="77" s="1"/>
  <c r="E22" i="77"/>
  <c r="G22" i="77"/>
  <c r="H22" i="77"/>
  <c r="I22" i="77"/>
  <c r="I25" i="77" s="1"/>
  <c r="H25" i="77"/>
  <c r="G25" i="77"/>
  <c r="E62" i="77"/>
  <c r="C62" i="77"/>
  <c r="D61" i="77"/>
  <c r="D60" i="77"/>
  <c r="D59" i="77"/>
  <c r="D58" i="77"/>
  <c r="J56" i="77"/>
  <c r="AN39" i="3" s="1"/>
  <c r="O78" i="77" s="1"/>
  <c r="M78" i="77" s="1"/>
  <c r="F78" i="77" s="1"/>
  <c r="N53" i="77"/>
  <c r="M53" i="77"/>
  <c r="L53" i="77"/>
  <c r="K53" i="77"/>
  <c r="J53" i="77"/>
  <c r="I53" i="77"/>
  <c r="H53" i="77"/>
  <c r="G53" i="77"/>
  <c r="E53" i="77"/>
  <c r="E63" i="77" s="1"/>
  <c r="D53" i="77"/>
  <c r="C53" i="77"/>
  <c r="C63" i="77" s="1"/>
  <c r="J44" i="77"/>
  <c r="J45" i="77" s="1"/>
  <c r="E44" i="77"/>
  <c r="C44" i="77"/>
  <c r="I42" i="77"/>
  <c r="I45" i="77" s="1"/>
  <c r="H42" i="77"/>
  <c r="H45" i="77" s="1"/>
  <c r="G42" i="77"/>
  <c r="G45" i="77" s="1"/>
  <c r="E42" i="77"/>
  <c r="E45" i="77" s="1"/>
  <c r="D42" i="77"/>
  <c r="D45" i="77" s="1"/>
  <c r="C42" i="77"/>
  <c r="C45" i="77" s="1"/>
  <c r="O21" i="1" s="1"/>
  <c r="K24" i="77"/>
  <c r="J24" i="77"/>
  <c r="E24" i="77"/>
  <c r="E25" i="77" s="1"/>
  <c r="C24" i="77"/>
  <c r="C25" i="77" s="1"/>
  <c r="D11" i="77" l="1"/>
  <c r="O3" i="77"/>
  <c r="O20" i="1"/>
  <c r="O25" i="1"/>
  <c r="O26" i="1" s="1"/>
  <c r="N26" i="1" s="1"/>
  <c r="N14" i="1" s="1"/>
  <c r="M77" i="77"/>
  <c r="M80" i="77" s="1"/>
  <c r="O80" i="77"/>
  <c r="D62" i="77"/>
  <c r="D63" i="77" s="1"/>
  <c r="K25" i="77"/>
  <c r="J25" i="77"/>
  <c r="E4" i="81" s="1"/>
  <c r="D13" i="81" l="1"/>
  <c r="E1" i="81"/>
  <c r="D11" i="81" s="1"/>
  <c r="O22" i="1"/>
  <c r="N22" i="1" s="1"/>
  <c r="N6" i="1" s="1"/>
  <c r="O4" i="77"/>
  <c r="L3" i="71"/>
  <c r="K3" i="71"/>
  <c r="I3" i="71"/>
  <c r="D7" i="81" l="1"/>
  <c r="D8" i="81"/>
  <c r="F8" i="81" s="1"/>
  <c r="D10" i="81"/>
  <c r="F10" i="81" s="1"/>
  <c r="D9" i="81"/>
  <c r="F9" i="81" s="1"/>
  <c r="J3" i="71"/>
  <c r="F7" i="81" l="1"/>
  <c r="D6" i="81"/>
  <c r="G4" i="81" s="1"/>
  <c r="D4" i="81"/>
  <c r="AD5" i="71"/>
  <c r="AG5" i="71"/>
  <c r="AH5" i="71"/>
  <c r="AE5" i="71"/>
  <c r="AF5" i="71" s="1"/>
  <c r="N5" i="71"/>
  <c r="Q5" i="71"/>
  <c r="P5" i="71"/>
  <c r="O5" i="71"/>
  <c r="C4" i="81" l="1"/>
  <c r="I8" i="81"/>
  <c r="D3" i="81"/>
  <c r="C3" i="81" s="1"/>
  <c r="H4" i="81"/>
  <c r="G3" i="81"/>
  <c r="H3" i="81" s="1"/>
  <c r="F11" i="81"/>
  <c r="F6" i="81"/>
  <c r="Q6" i="7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3" i="76"/>
  <c r="E7" i="76"/>
  <c r="E12" i="76"/>
  <c r="B11" i="76"/>
  <c r="B8" i="76"/>
  <c r="B7" i="76"/>
  <c r="E8" i="76"/>
  <c r="B9" i="76"/>
  <c r="B12" i="76"/>
  <c r="E9" i="76"/>
  <c r="B10" i="76"/>
  <c r="E10" i="76"/>
  <c r="E11"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4" i="73"/>
  <c r="D5" i="73"/>
  <c r="F6" i="73"/>
  <c r="D3" i="73"/>
  <c r="F5" i="73"/>
  <c r="D6" i="73"/>
  <c r="F3" i="73"/>
  <c r="I1" i="73" l="1"/>
  <c r="B39" i="1" s="1"/>
  <c r="D7" i="73"/>
  <c r="D4" i="73"/>
  <c r="F11" i="83" l="1"/>
  <c r="M11" i="83"/>
  <c r="F11" i="82"/>
  <c r="M11" i="82"/>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10" i="83"/>
  <c r="C53" i="82"/>
  <c r="C10" i="82"/>
  <c r="C53" i="78"/>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F8" i="1" s="1"/>
  <c r="G8" i="1" s="1"/>
  <c r="G15" i="4"/>
  <c r="F9" i="1" s="1"/>
  <c r="G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H77" i="77"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AZ509" i="3" s="1"/>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B126" i="21"/>
  <c r="J44" i="21" s="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D8" i="12" s="1"/>
  <c r="E7" i="12"/>
  <c r="G7" i="12"/>
  <c r="K5" i="3"/>
  <c r="J5" i="3"/>
  <c r="BE10" i="3"/>
  <c r="E8" i="6" s="1"/>
  <c r="F27" i="6" s="1"/>
  <c r="D29" i="43" s="1"/>
  <c r="D1" i="43" s="1"/>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S40" i="21"/>
  <c r="S34" i="21"/>
  <c r="C21" i="39"/>
  <c r="S40" i="39"/>
  <c r="H32" i="33"/>
  <c r="AB32" i="33"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G537" i="3"/>
  <c r="BQ555" i="3"/>
  <c r="BL555" i="3"/>
  <c r="BQ553" i="3"/>
  <c r="BL553" i="3" s="1"/>
  <c r="BQ551" i="3"/>
  <c r="BL551" i="3" s="1"/>
  <c r="BQ549" i="3"/>
  <c r="BQ547" i="3"/>
  <c r="BL547" i="3" s="1"/>
  <c r="AZ547" i="3" s="1"/>
  <c r="BQ545" i="3"/>
  <c r="BL545" i="3" s="1"/>
  <c r="BQ543" i="3"/>
  <c r="BL543" i="3" s="1"/>
  <c r="AZ543" i="3" s="1"/>
  <c r="BQ541" i="3"/>
  <c r="BQ539" i="3"/>
  <c r="BL539" i="3" s="1"/>
  <c r="BQ537" i="3"/>
  <c r="BQ535" i="3"/>
  <c r="BL535" i="3" s="1"/>
  <c r="AZ535" i="3" s="1"/>
  <c r="BQ533" i="3"/>
  <c r="BQ531" i="3"/>
  <c r="BL531" i="3" s="1"/>
  <c r="BQ529" i="3"/>
  <c r="BQ527" i="3"/>
  <c r="BL527" i="3" s="1"/>
  <c r="AZ527" i="3" s="1"/>
  <c r="BQ525" i="3"/>
  <c r="BQ523" i="3"/>
  <c r="BL523" i="3" s="1"/>
  <c r="AC521" i="3"/>
  <c r="G521" i="3" s="1"/>
  <c r="BQ521" i="3"/>
  <c r="BL520" i="3"/>
  <c r="G517" i="3"/>
  <c r="G513" i="3"/>
  <c r="BQ519" i="3"/>
  <c r="BQ517" i="3"/>
  <c r="BL517" i="3" s="1"/>
  <c r="AZ517" i="3" s="1"/>
  <c r="BQ515" i="3"/>
  <c r="BL515" i="3"/>
  <c r="BQ513" i="3"/>
  <c r="BQ511" i="3"/>
  <c r="BA509" i="3"/>
  <c r="AC509" i="3"/>
  <c r="BQ509" i="3"/>
  <c r="BL508" i="3"/>
  <c r="G507" i="3"/>
  <c r="G503" i="3"/>
  <c r="G499" i="3"/>
  <c r="G495" i="3"/>
  <c r="BQ507" i="3"/>
  <c r="BQ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AC33" i="36"/>
  <c r="U35" i="35"/>
  <c r="AA12" i="35"/>
  <c r="W23" i="35"/>
  <c r="AB28" i="37"/>
  <c r="AC8" i="37"/>
  <c r="U26" i="37"/>
  <c r="W37" i="34"/>
  <c r="AC36" i="34"/>
  <c r="AA13" i="33"/>
  <c r="AC31" i="33"/>
  <c r="AC45" i="33"/>
  <c r="W44" i="33"/>
  <c r="U11" i="33"/>
  <c r="U19" i="21"/>
  <c r="U26" i="21"/>
  <c r="U12"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G548" i="3"/>
  <c r="G520" i="3"/>
  <c r="BS5" i="3"/>
  <c r="BN5" i="3"/>
  <c r="BK5" i="3"/>
  <c r="BG5" i="3"/>
  <c r="BC5" i="3"/>
  <c r="G17" i="3"/>
  <c r="BA17" i="3"/>
  <c r="AZ356" i="3"/>
  <c r="AZ364" i="3"/>
  <c r="BA15" i="3"/>
  <c r="BR5" i="3"/>
  <c r="AZ384" i="3"/>
  <c r="AZ396" i="3"/>
  <c r="AZ394" i="3"/>
  <c r="G509" i="3"/>
  <c r="AZ390" i="3"/>
  <c r="N4" i="43"/>
  <c r="F36" i="43"/>
  <c r="F81" i="43"/>
  <c r="H83" i="43" s="1"/>
  <c r="H113" i="43"/>
  <c r="N7" i="43"/>
  <c r="F70" i="43" s="1"/>
  <c r="M6" i="43"/>
  <c r="M11" i="43"/>
  <c r="E17" i="43"/>
  <c r="F39" i="43"/>
  <c r="I17" i="43"/>
  <c r="F35" i="43"/>
  <c r="J17" i="43"/>
  <c r="F6" i="1"/>
  <c r="U17" i="39"/>
  <c r="S14" i="35"/>
  <c r="U35" i="21"/>
  <c r="U10" i="2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45" i="3"/>
  <c r="AZ50" i="3"/>
  <c r="AZ61"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L48" i="78"/>
  <c r="M29" i="82"/>
  <c r="F43" i="82"/>
  <c r="M29" i="78"/>
  <c r="F43" i="78"/>
  <c r="L47" i="78"/>
  <c r="F7" i="78"/>
  <c r="F7" i="82"/>
  <c r="G77" i="77" l="1"/>
  <c r="H80" i="77"/>
  <c r="BL18" i="3"/>
  <c r="G24" i="3"/>
  <c r="G26" i="3"/>
  <c r="BA30" i="3"/>
  <c r="BA32" i="3"/>
  <c r="G14" i="3"/>
  <c r="F71" i="82"/>
  <c r="C6" i="82"/>
  <c r="C5" i="82" s="1"/>
  <c r="F50" i="82"/>
  <c r="C49" i="82" s="1"/>
  <c r="C48" i="82" s="1"/>
  <c r="M7" i="82"/>
  <c r="M10" i="1"/>
  <c r="W27" i="39"/>
  <c r="F71" i="78"/>
  <c r="C6" i="78"/>
  <c r="C5" i="78" s="1"/>
  <c r="F50" i="78"/>
  <c r="C49" i="78" s="1"/>
  <c r="C48" i="78" s="1"/>
  <c r="M7" i="78"/>
  <c r="M9" i="1"/>
  <c r="O9" i="1" s="1"/>
  <c r="P9" i="1" s="1"/>
  <c r="M8" i="1"/>
  <c r="O8" i="1" s="1"/>
  <c r="P8" i="1" s="1"/>
  <c r="G20" i="43"/>
  <c r="C20" i="43" s="1"/>
  <c r="F48" i="43"/>
  <c r="H48" i="43" s="1"/>
  <c r="H73" i="43"/>
  <c r="H74" i="43"/>
  <c r="L58" i="78"/>
  <c r="N59" i="78"/>
  <c r="J57" i="78"/>
  <c r="J55" i="78" s="1"/>
  <c r="J58" i="78" s="1"/>
  <c r="Q50" i="78" s="1"/>
  <c r="I54" i="78"/>
  <c r="F7" i="1"/>
  <c r="G7" i="1" s="1"/>
  <c r="C10" i="39"/>
  <c r="U43" i="21"/>
  <c r="C25" i="39"/>
  <c r="C15" i="39"/>
  <c r="AC44" i="21"/>
  <c r="W44" i="21"/>
  <c r="W46" i="21"/>
  <c r="AC46" i="21"/>
  <c r="F44" i="21"/>
  <c r="AA44" i="21" s="1"/>
  <c r="G38" i="3"/>
  <c r="BL37" i="3"/>
  <c r="G37" i="3"/>
  <c r="G39" i="3"/>
  <c r="BL36" i="3"/>
  <c r="BL35" i="3"/>
  <c r="G36" i="3"/>
  <c r="G35" i="3"/>
  <c r="BA35" i="3"/>
  <c r="G25" i="3"/>
  <c r="BL26" i="3"/>
  <c r="G27" i="3"/>
  <c r="BL33" i="3"/>
  <c r="G31" i="3"/>
  <c r="G33" i="3"/>
  <c r="G23" i="3"/>
  <c r="BA31" i="3"/>
  <c r="AZ31" i="3" s="1"/>
  <c r="BA33" i="3"/>
  <c r="BA27" i="3"/>
  <c r="AZ27" i="3" s="1"/>
  <c r="BA28" i="3"/>
  <c r="AZ28" i="3" s="1"/>
  <c r="BA29" i="3"/>
  <c r="AZ29" i="3" s="1"/>
  <c r="BA23" i="3"/>
  <c r="BL23" i="3"/>
  <c r="BL25" i="3"/>
  <c r="G18" i="3"/>
  <c r="BL20" i="3"/>
  <c r="G21" i="3"/>
  <c r="BA18" i="3"/>
  <c r="AZ18" i="3" s="1"/>
  <c r="BA20" i="3"/>
  <c r="F29" i="6"/>
  <c r="A15" i="62"/>
  <c r="B61" i="72" s="1"/>
  <c r="AZ557" i="3"/>
  <c r="AZ521" i="3"/>
  <c r="AZ512" i="3"/>
  <c r="G28" i="6"/>
  <c r="AZ495" i="3"/>
  <c r="AZ503" i="3"/>
  <c r="AZ520" i="3"/>
  <c r="AZ523" i="3"/>
  <c r="AZ531" i="3"/>
  <c r="AZ539" i="3"/>
  <c r="AZ559" i="3"/>
  <c r="AZ567" i="3"/>
  <c r="AZ587" i="3"/>
  <c r="AZ510" i="3"/>
  <c r="U11" i="36"/>
  <c r="AB11" i="36"/>
  <c r="W45" i="39"/>
  <c r="AC45" i="39"/>
  <c r="BA585" i="3"/>
  <c r="H13" i="21"/>
  <c r="J13" i="21"/>
  <c r="AC13" i="21" s="1"/>
  <c r="J27" i="21"/>
  <c r="W27" i="21" s="1"/>
  <c r="F27" i="21"/>
  <c r="AA27" i="21" s="1"/>
  <c r="H31" i="21"/>
  <c r="J31" i="21"/>
  <c r="AC31" i="21" s="1"/>
  <c r="J45" i="21"/>
  <c r="W45" i="21" s="1"/>
  <c r="F45" i="21"/>
  <c r="AA45" i="21" s="1"/>
  <c r="B74" i="43"/>
  <c r="C27" i="39"/>
  <c r="AB35" i="33"/>
  <c r="U35" i="33"/>
  <c r="W16" i="36"/>
  <c r="AC16" i="36"/>
  <c r="J25" i="36"/>
  <c r="W25" i="36" s="1"/>
  <c r="H25" i="36"/>
  <c r="AB25" i="36" s="1"/>
  <c r="F32" i="36"/>
  <c r="J32" i="36"/>
  <c r="S31" i="36"/>
  <c r="AA31" i="36"/>
  <c r="H27" i="37"/>
  <c r="F27" i="37"/>
  <c r="AA27" i="37" s="1"/>
  <c r="J27" i="37"/>
  <c r="AC27" i="37" s="1"/>
  <c r="J39" i="37"/>
  <c r="AC39" i="37" s="1"/>
  <c r="F39" i="37"/>
  <c r="H39" i="37"/>
  <c r="AB40" i="40"/>
  <c r="U40" i="40"/>
  <c r="BA568" i="3"/>
  <c r="AZ568" i="3" s="1"/>
  <c r="BA565" i="3"/>
  <c r="BL563" i="3"/>
  <c r="AZ563" i="3" s="1"/>
  <c r="BL561" i="3"/>
  <c r="BA561" i="3"/>
  <c r="BL556" i="3"/>
  <c r="BA556" i="3"/>
  <c r="AZ556" i="3" s="1"/>
  <c r="BA538" i="3"/>
  <c r="AZ538" i="3" s="1"/>
  <c r="BL536" i="3"/>
  <c r="AZ536" i="3" s="1"/>
  <c r="BL534" i="3"/>
  <c r="BA534" i="3"/>
  <c r="AZ534" i="3" s="1"/>
  <c r="BL532" i="3"/>
  <c r="AZ532" i="3" s="1"/>
  <c r="BA530" i="3"/>
  <c r="AZ530" i="3" s="1"/>
  <c r="BL528" i="3"/>
  <c r="BL526" i="3"/>
  <c r="AZ526" i="3" s="1"/>
  <c r="BL524" i="3"/>
  <c r="AZ524" i="3" s="1"/>
  <c r="BA522" i="3"/>
  <c r="AZ522" i="3" s="1"/>
  <c r="BA518" i="3"/>
  <c r="AZ518" i="3" s="1"/>
  <c r="BA515" i="3"/>
  <c r="AZ515" i="3" s="1"/>
  <c r="BA511" i="3"/>
  <c r="AZ511" i="3" s="1"/>
  <c r="BA505" i="3"/>
  <c r="AZ505" i="3" s="1"/>
  <c r="BA501" i="3"/>
  <c r="AZ501" i="3" s="1"/>
  <c r="BA497" i="3"/>
  <c r="AZ497" i="3" s="1"/>
  <c r="BA494" i="3"/>
  <c r="AZ494" i="3" s="1"/>
  <c r="H82" i="43"/>
  <c r="H50" i="43"/>
  <c r="H75" i="43"/>
  <c r="AC35" i="21"/>
  <c r="U36" i="40"/>
  <c r="BL493" i="3"/>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BL529" i="3"/>
  <c r="BL533" i="3"/>
  <c r="BL537" i="3"/>
  <c r="BL541" i="3"/>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BL581" i="3"/>
  <c r="BA581" i="3"/>
  <c r="BL580" i="3"/>
  <c r="BA580" i="3"/>
  <c r="BL579" i="3"/>
  <c r="AZ579" i="3" s="1"/>
  <c r="BA578" i="3"/>
  <c r="AZ578" i="3" s="1"/>
  <c r="BA577" i="3"/>
  <c r="AZ577" i="3" s="1"/>
  <c r="BA576" i="3"/>
  <c r="AZ576" i="3" s="1"/>
  <c r="BL574" i="3"/>
  <c r="BA574" i="3"/>
  <c r="AZ574" i="3" s="1"/>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BL542" i="3"/>
  <c r="BA542" i="3"/>
  <c r="AZ542" i="3" s="1"/>
  <c r="AZ362" i="3"/>
  <c r="AZ528" i="3"/>
  <c r="AZ544" i="3"/>
  <c r="AZ582" i="3"/>
  <c r="S29" i="35"/>
  <c r="AA29" i="35"/>
  <c r="AB33" i="35"/>
  <c r="U33" i="35"/>
  <c r="AB23" i="40"/>
  <c r="U23" i="40"/>
  <c r="AB8" i="35"/>
  <c r="U8" i="35"/>
  <c r="AC28" i="36"/>
  <c r="W28" i="36"/>
  <c r="J33" i="40"/>
  <c r="F33" i="40"/>
  <c r="AA33" i="40" s="1"/>
  <c r="F38" i="40"/>
  <c r="H38" i="40"/>
  <c r="J40" i="40"/>
  <c r="F40" i="40"/>
  <c r="BA569" i="3"/>
  <c r="AZ569" i="3" s="1"/>
  <c r="BL566" i="3"/>
  <c r="BA566" i="3"/>
  <c r="AZ566" i="3" s="1"/>
  <c r="BL564" i="3"/>
  <c r="BA564" i="3"/>
  <c r="AZ564" i="3" s="1"/>
  <c r="BA562" i="3"/>
  <c r="AZ562" i="3" s="1"/>
  <c r="BA560" i="3"/>
  <c r="AZ560" i="3" s="1"/>
  <c r="BL558" i="3"/>
  <c r="AZ558" i="3" s="1"/>
  <c r="BA541" i="3"/>
  <c r="BA537" i="3"/>
  <c r="BA533" i="3"/>
  <c r="BA529" i="3"/>
  <c r="BA525" i="3"/>
  <c r="BA519" i="3"/>
  <c r="AZ519" i="3" s="1"/>
  <c r="BL516" i="3"/>
  <c r="AZ516" i="3" s="1"/>
  <c r="BL514" i="3"/>
  <c r="BA514" i="3"/>
  <c r="AZ514" i="3" s="1"/>
  <c r="BL506" i="3"/>
  <c r="BA506" i="3"/>
  <c r="AZ506" i="3" s="1"/>
  <c r="BL504" i="3"/>
  <c r="AZ504" i="3" s="1"/>
  <c r="BA500" i="3"/>
  <c r="AZ500" i="3" s="1"/>
  <c r="BL498" i="3"/>
  <c r="AZ498" i="3" s="1"/>
  <c r="BL496" i="3"/>
  <c r="AZ496" i="3" s="1"/>
  <c r="BA493" i="3"/>
  <c r="AZ493" i="3" s="1"/>
  <c r="BL565" i="3"/>
  <c r="AZ565" i="3" s="1"/>
  <c r="BL573" i="3"/>
  <c r="AZ573" i="3" s="1"/>
  <c r="BL583" i="3"/>
  <c r="AZ583" i="3" s="1"/>
  <c r="BL586" i="3"/>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E14" i="6"/>
  <c r="E64" i="39" s="1"/>
  <c r="E5" i="6"/>
  <c r="D9" i="11" s="1"/>
  <c r="C9" i="11" s="1"/>
  <c r="E32" i="6"/>
  <c r="L19" i="6" s="1"/>
  <c r="G1" i="68"/>
  <c r="K1" i="12"/>
  <c r="F30" i="6"/>
  <c r="F31" i="6" s="1"/>
  <c r="E28" i="6"/>
  <c r="E57" i="40"/>
  <c r="E56"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4"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3" i="15"/>
  <c r="F38" i="67"/>
  <c r="M24" i="15"/>
  <c r="M26" i="67"/>
  <c r="L48" i="67"/>
  <c r="F6" i="67"/>
  <c r="F7" i="15"/>
  <c r="C16" i="82"/>
  <c r="F7" i="67"/>
  <c r="F38" i="15"/>
  <c r="G1" i="73"/>
  <c r="F36" i="15"/>
  <c r="C16" i="78"/>
  <c r="C76" i="67"/>
  <c r="M29" i="15"/>
  <c r="M29" i="67"/>
  <c r="F42" i="67"/>
  <c r="L48" i="15"/>
  <c r="F40" i="15"/>
  <c r="F8" i="67"/>
  <c r="F37" i="15"/>
  <c r="F26" i="15"/>
  <c r="M23" i="15"/>
  <c r="M24" i="67"/>
  <c r="F36" i="67"/>
  <c r="F40" i="67"/>
  <c r="F16" i="15"/>
  <c r="F13" i="67"/>
  <c r="F43" i="67"/>
  <c r="M9" i="67"/>
  <c r="J15" i="15"/>
  <c r="F43" i="15"/>
  <c r="F6" i="15"/>
  <c r="J15" i="67"/>
  <c r="M9" i="15"/>
  <c r="M6" i="15"/>
  <c r="M23" i="67"/>
  <c r="F8" i="15"/>
  <c r="L47" i="67"/>
  <c r="M26" i="15"/>
  <c r="F43" i="83"/>
  <c r="F37" i="67"/>
  <c r="F9" i="67"/>
  <c r="L47" i="15"/>
  <c r="M28" i="67"/>
  <c r="M8" i="67"/>
  <c r="M22" i="67"/>
  <c r="F7" i="83"/>
  <c r="M22" i="15"/>
  <c r="F9" i="15"/>
  <c r="M8" i="15"/>
  <c r="M28" i="15"/>
  <c r="M6" i="67"/>
  <c r="F16" i="67"/>
  <c r="C76" i="15"/>
  <c r="F26" i="67"/>
  <c r="F42" i="15"/>
  <c r="M29" i="83"/>
  <c r="AZ36" i="3" l="1"/>
  <c r="F77" i="77"/>
  <c r="F80" i="77" s="1"/>
  <c r="G80" i="77"/>
  <c r="AZ33" i="3"/>
  <c r="C6" i="83"/>
  <c r="C5" i="83" s="1"/>
  <c r="M7" i="83"/>
  <c r="F50" i="83"/>
  <c r="C49" i="83" s="1"/>
  <c r="C48" i="83" s="1"/>
  <c r="F71" i="83"/>
  <c r="M11" i="1"/>
  <c r="J6" i="82"/>
  <c r="J10" i="82"/>
  <c r="C38" i="82"/>
  <c r="C32" i="82"/>
  <c r="O10" i="1"/>
  <c r="P10" i="1" s="1"/>
  <c r="C66" i="82"/>
  <c r="C60" i="82"/>
  <c r="J6" i="78"/>
  <c r="J10" i="78"/>
  <c r="C38" i="78"/>
  <c r="C32" i="78"/>
  <c r="C66" i="78"/>
  <c r="C60" i="78"/>
  <c r="H52" i="43"/>
  <c r="H49" i="43"/>
  <c r="L56" i="78"/>
  <c r="Q73" i="78"/>
  <c r="Q60" i="78"/>
  <c r="AC15" i="21"/>
  <c r="AZ23" i="3"/>
  <c r="T12" i="1"/>
  <c r="G5" i="3"/>
  <c r="B3" i="3" s="1"/>
  <c r="A3" i="3" s="1"/>
  <c r="AZ20" i="3"/>
  <c r="E4" i="4"/>
  <c r="K4" i="4" s="1"/>
  <c r="B46" i="48" s="1"/>
  <c r="B4" i="72" s="1"/>
  <c r="AA40" i="40"/>
  <c r="S40" i="40"/>
  <c r="AB38" i="40"/>
  <c r="U38" i="40"/>
  <c r="AA31" i="39"/>
  <c r="S31" i="39"/>
  <c r="U25" i="37"/>
  <c r="AB25" i="37"/>
  <c r="AC31" i="34"/>
  <c r="W31" i="34"/>
  <c r="U13" i="34"/>
  <c r="AB13" i="34"/>
  <c r="AB13" i="37"/>
  <c r="U13" i="37"/>
  <c r="AZ541" i="3"/>
  <c r="AZ533" i="3"/>
  <c r="AZ525" i="3"/>
  <c r="S39" i="37"/>
  <c r="AA39" i="37"/>
  <c r="U27" i="37"/>
  <c r="AB27" i="37"/>
  <c r="W40" i="40"/>
  <c r="AC40" i="40"/>
  <c r="AA38" i="40"/>
  <c r="S38" i="40"/>
  <c r="W33" i="40"/>
  <c r="AC33" i="40"/>
  <c r="AZ580" i="3"/>
  <c r="AZ581" i="3"/>
  <c r="AC25" i="37"/>
  <c r="W25" i="37"/>
  <c r="AC47" i="34"/>
  <c r="W47" i="34"/>
  <c r="S44" i="33"/>
  <c r="AA44" i="33"/>
  <c r="U12" i="33"/>
  <c r="AB12" i="33"/>
  <c r="AZ537" i="3"/>
  <c r="AZ529" i="3"/>
  <c r="AZ561" i="3"/>
  <c r="AB39" i="37"/>
  <c r="U39" i="37"/>
  <c r="W32" i="36"/>
  <c r="AC32" i="36"/>
  <c r="L58" i="67"/>
  <c r="L58" i="15"/>
  <c r="Q73" i="15" s="1"/>
  <c r="N59" i="67"/>
  <c r="L59" i="67" s="1"/>
  <c r="J53" i="67"/>
  <c r="I54" i="67"/>
  <c r="N59" i="15"/>
  <c r="I54" i="15"/>
  <c r="AQ13" i="1"/>
  <c r="AZ13" i="3"/>
  <c r="M6" i="1"/>
  <c r="O6" i="1" s="1"/>
  <c r="P6" i="1" s="1"/>
  <c r="F30" i="68"/>
  <c r="C30" i="68" s="1"/>
  <c r="F30" i="11"/>
  <c r="C48" i="11" s="1"/>
  <c r="F28" i="67"/>
  <c r="C28" i="67" s="1"/>
  <c r="F31" i="12"/>
  <c r="F52" i="9"/>
  <c r="M18" i="67"/>
  <c r="F32" i="67"/>
  <c r="F60" i="67" s="1"/>
  <c r="F30" i="69"/>
  <c r="C48" i="69" s="1"/>
  <c r="F32" i="15"/>
  <c r="F60" i="15" s="1"/>
  <c r="M18" i="15"/>
  <c r="F28" i="15"/>
  <c r="E63" i="39"/>
  <c r="E66" i="39" s="1"/>
  <c r="D9" i="69"/>
  <c r="C9" i="69" s="1"/>
  <c r="D19" i="12"/>
  <c r="C19" i="12" s="1"/>
  <c r="E59" i="40"/>
  <c r="D68" i="39"/>
  <c r="D70" i="39" s="1"/>
  <c r="C28" i="15"/>
  <c r="E30" i="6"/>
  <c r="K15" i="1"/>
  <c r="T13" i="1"/>
  <c r="E16" i="6"/>
  <c r="E69" i="3"/>
  <c r="C77" i="9"/>
  <c r="C74" i="9" s="1"/>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 i="6" s="1"/>
  <c r="E31" i="6"/>
  <c r="K24" i="6"/>
  <c r="K14" i="1"/>
  <c r="M14" i="1" s="1"/>
  <c r="O14" i="1" s="1"/>
  <c r="P14" i="1" s="1"/>
  <c r="BL5" i="3"/>
  <c r="C19" i="43"/>
  <c r="J59" i="9"/>
  <c r="J61" i="9" s="1"/>
  <c r="K21" i="6"/>
  <c r="E511" i="3"/>
  <c r="E16" i="3"/>
  <c r="AK6" i="3"/>
  <c r="E434" i="3"/>
  <c r="E306" i="3"/>
  <c r="E296" i="3"/>
  <c r="E262" i="3"/>
  <c r="E136" i="3"/>
  <c r="E236" i="3"/>
  <c r="E269" i="3"/>
  <c r="E89" i="3"/>
  <c r="K26" i="6"/>
  <c r="M26" i="6" s="1"/>
  <c r="I26" i="6" s="1"/>
  <c r="S26" i="6" s="1"/>
  <c r="K22" i="6"/>
  <c r="K19" i="6"/>
  <c r="S6" i="1" s="1"/>
  <c r="AQ6" i="1" s="1"/>
  <c r="K25" i="6"/>
  <c r="M25" i="6" s="1"/>
  <c r="I25" i="6" s="1"/>
  <c r="S25" i="6" s="1"/>
  <c r="K23" i="6"/>
  <c r="E140" i="3"/>
  <c r="E85" i="3"/>
  <c r="E223" i="3"/>
  <c r="E238" i="3"/>
  <c r="E197" i="3"/>
  <c r="E116" i="3"/>
  <c r="E173" i="3"/>
  <c r="E105" i="3"/>
  <c r="E327" i="3"/>
  <c r="E379"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F24" i="83"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15"/>
  <c r="C16" i="83"/>
  <c r="C16" i="67"/>
  <c r="O5" i="77" l="1"/>
  <c r="O6" i="77" s="1"/>
  <c r="C11" i="21" s="1"/>
  <c r="I4" i="6"/>
  <c r="J6" i="83"/>
  <c r="J10" i="83"/>
  <c r="O11" i="1"/>
  <c r="P11" i="1" s="1"/>
  <c r="C66" i="83"/>
  <c r="C60" i="83"/>
  <c r="C38" i="83"/>
  <c r="C32" i="83"/>
  <c r="C24" i="83"/>
  <c r="J5" i="82"/>
  <c r="J24" i="82" s="1"/>
  <c r="M24" i="6"/>
  <c r="I24" i="6" s="1"/>
  <c r="S24" i="6" s="1"/>
  <c r="S11" i="1"/>
  <c r="B5" i="62"/>
  <c r="B73" i="72" s="1"/>
  <c r="F24" i="78"/>
  <c r="C24" i="78" s="1"/>
  <c r="F24" i="82"/>
  <c r="J5" i="78"/>
  <c r="J26" i="78" s="1"/>
  <c r="M23" i="6"/>
  <c r="I23" i="6" s="1"/>
  <c r="S23" i="6" s="1"/>
  <c r="S10" i="1"/>
  <c r="K16" i="1"/>
  <c r="C30" i="69"/>
  <c r="C48" i="68"/>
  <c r="M22" i="6"/>
  <c r="I22" i="6" s="1"/>
  <c r="S22" i="6" s="1"/>
  <c r="S9" i="1"/>
  <c r="M21" i="6"/>
  <c r="I21" i="6" s="1"/>
  <c r="S21" i="6" s="1"/>
  <c r="S8" i="1"/>
  <c r="O6" i="3"/>
  <c r="AT6" i="3"/>
  <c r="E314" i="3"/>
  <c r="E247" i="3"/>
  <c r="E201" i="3"/>
  <c r="E431" i="3"/>
  <c r="E579" i="3"/>
  <c r="E122" i="3"/>
  <c r="E148" i="3"/>
  <c r="E156" i="3"/>
  <c r="E196" i="3"/>
  <c r="E244" i="3"/>
  <c r="E368" i="3"/>
  <c r="E453" i="3"/>
  <c r="E549" i="3"/>
  <c r="E536" i="3"/>
  <c r="I6" i="3"/>
  <c r="E568" i="3"/>
  <c r="E397" i="3"/>
  <c r="E151" i="3"/>
  <c r="E229" i="3"/>
  <c r="E396" i="3"/>
  <c r="E569" i="3"/>
  <c r="E53" i="3"/>
  <c r="E239" i="3"/>
  <c r="E509" i="3"/>
  <c r="E516"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388"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535" i="3"/>
  <c r="E172" i="3"/>
  <c r="E445" i="3"/>
  <c r="E563" i="3"/>
  <c r="E550" i="3"/>
  <c r="E260" i="3"/>
  <c r="E395" i="3"/>
  <c r="E415" i="3"/>
  <c r="E278" i="3"/>
  <c r="E545" i="3"/>
  <c r="E583" i="3"/>
  <c r="E539" i="3"/>
  <c r="E347" i="3"/>
  <c r="E329" i="3"/>
  <c r="AY6" i="3"/>
  <c r="AY276" i="3" s="1"/>
  <c r="E302" i="3"/>
  <c r="E503" i="3"/>
  <c r="E17" i="3"/>
  <c r="E361" i="3"/>
  <c r="E213" i="3"/>
  <c r="E183" i="3"/>
  <c r="E565" i="3"/>
  <c r="E528" i="3"/>
  <c r="E304" i="3"/>
  <c r="E114" i="3"/>
  <c r="E261" i="3"/>
  <c r="E237" i="3"/>
  <c r="E328" i="3"/>
  <c r="AJ6" i="3"/>
  <c r="E508" i="3"/>
  <c r="N6" i="3"/>
  <c r="E426" i="3"/>
  <c r="E322" i="3"/>
  <c r="E305" i="3"/>
  <c r="E282" i="3"/>
  <c r="E153" i="3"/>
  <c r="E268" i="3"/>
  <c r="E343" i="3"/>
  <c r="E553" i="3"/>
  <c r="E501" i="3"/>
  <c r="E526" i="3"/>
  <c r="E530" i="3"/>
  <c r="E366" i="3"/>
  <c r="E319" i="3"/>
  <c r="E217" i="3"/>
  <c r="E175" i="3"/>
  <c r="E125" i="3"/>
  <c r="M19" i="6"/>
  <c r="AR6" i="1"/>
  <c r="T7" i="1"/>
  <c r="AR7" i="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E6" i="6"/>
  <c r="D19" i="11"/>
  <c r="C19" i="11" s="1"/>
  <c r="C20" i="11" s="1"/>
  <c r="C17" i="4"/>
  <c r="B4" i="52" s="1"/>
  <c r="B43" i="72" s="1"/>
  <c r="D37" i="11"/>
  <c r="L18" i="9"/>
  <c r="D14" i="12"/>
  <c r="D17" i="12" s="1"/>
  <c r="C17" i="12" s="1"/>
  <c r="D3" i="37"/>
  <c r="M18" i="9"/>
  <c r="B118" i="9" s="1"/>
  <c r="B14" i="74" s="1"/>
  <c r="B1" i="74" s="1"/>
  <c r="AY66" i="3"/>
  <c r="C47" i="69"/>
  <c r="D45" i="69" s="1"/>
  <c r="C29" i="69"/>
  <c r="D27" i="69" s="1"/>
  <c r="F27" i="68"/>
  <c r="F28" i="12"/>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B21" i="1" s="1"/>
  <c r="Q60" i="67"/>
  <c r="Q73" i="67"/>
  <c r="F27" i="11"/>
  <c r="Q61" i="67"/>
  <c r="Q74" i="67"/>
  <c r="C49" i="67"/>
  <c r="F1" i="67"/>
  <c r="Q52" i="67"/>
  <c r="C17" i="15"/>
  <c r="C17" i="78"/>
  <c r="C17" i="83"/>
  <c r="C17" i="82"/>
  <c r="J24" i="78" l="1"/>
  <c r="G3" i="43"/>
  <c r="C11" i="39"/>
  <c r="F11" i="21"/>
  <c r="H11" i="21"/>
  <c r="J11" i="21"/>
  <c r="AY500" i="3"/>
  <c r="AY523" i="3"/>
  <c r="M27" i="6"/>
  <c r="J5" i="83"/>
  <c r="J26" i="83" s="1"/>
  <c r="AY443" i="3"/>
  <c r="BP6" i="3"/>
  <c r="AY373" i="3"/>
  <c r="AY143" i="3"/>
  <c r="AY265" i="3"/>
  <c r="AY445" i="3"/>
  <c r="AY324" i="3"/>
  <c r="AY541" i="3"/>
  <c r="BT6" i="3"/>
  <c r="AY386" i="3"/>
  <c r="AY71" i="3"/>
  <c r="AY315" i="3"/>
  <c r="AY19" i="3"/>
  <c r="AY522" i="3"/>
  <c r="AY250" i="3"/>
  <c r="AY580" i="3"/>
  <c r="AY161" i="3"/>
  <c r="AY134" i="3"/>
  <c r="AY470" i="3"/>
  <c r="AY521" i="3"/>
  <c r="AY307" i="3"/>
  <c r="AY257" i="3"/>
  <c r="AY200" i="3"/>
  <c r="AY568" i="3"/>
  <c r="AY451" i="3"/>
  <c r="AY394" i="3"/>
  <c r="AY151" i="3"/>
  <c r="AY79" i="3"/>
  <c r="AY551" i="3"/>
  <c r="AY505" i="3"/>
  <c r="AY305" i="3"/>
  <c r="AY174" i="3"/>
  <c r="AY552" i="3"/>
  <c r="AY438" i="3"/>
  <c r="AY215" i="3"/>
  <c r="AY88" i="3"/>
  <c r="AY270" i="3"/>
  <c r="AY201" i="3"/>
  <c r="AY358" i="3"/>
  <c r="AY176" i="3"/>
  <c r="AY188" i="3"/>
  <c r="AY297" i="3"/>
  <c r="AY335" i="3"/>
  <c r="AY409" i="3"/>
  <c r="AY228" i="3"/>
  <c r="AY465" i="3"/>
  <c r="BK6" i="3"/>
  <c r="AY108" i="3"/>
  <c r="AY2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66" i="3"/>
  <c r="AY400" i="3"/>
  <c r="AY477" i="3"/>
  <c r="AY351" i="3"/>
  <c r="AY240" i="3"/>
  <c r="AY293" i="3"/>
  <c r="AY164" i="3"/>
  <c r="AY54" i="3"/>
  <c r="AY107" i="3"/>
  <c r="AY547" i="3"/>
  <c r="AY408" i="3"/>
  <c r="AY485" i="3"/>
  <c r="AY359" i="3"/>
  <c r="AY248" i="3"/>
  <c r="AY301" i="3"/>
  <c r="AY172" i="3"/>
  <c r="AY62" i="3"/>
  <c r="AY493" i="3"/>
  <c r="AY545" i="3"/>
  <c r="AY515" i="3"/>
  <c r="AY538" i="3"/>
  <c r="AY402" i="3"/>
  <c r="AY479" i="3"/>
  <c r="AY361" i="3"/>
  <c r="AY113" i="3"/>
  <c r="AY64" i="3"/>
  <c r="AY532" i="3"/>
  <c r="AY536" i="3"/>
  <c r="AY419" i="3"/>
  <c r="AY480" i="3"/>
  <c r="AY341" i="3"/>
  <c r="AY275" i="3"/>
  <c r="AY29" i="3"/>
  <c r="AY507" i="3"/>
  <c r="AY227" i="3"/>
  <c r="AY286" i="3"/>
  <c r="AY173" i="3"/>
  <c r="AY45" i="3"/>
  <c r="AY433" i="3"/>
  <c r="AY180" i="3"/>
  <c r="AY225" i="3"/>
  <c r="AY115" i="3"/>
  <c r="AC6" i="3"/>
  <c r="E6" i="3" s="1"/>
  <c r="E11" i="70"/>
  <c r="J18" i="82"/>
  <c r="J26" i="82"/>
  <c r="AQ11" i="1"/>
  <c r="AR11" i="1"/>
  <c r="T11" i="1"/>
  <c r="E10" i="70"/>
  <c r="C29" i="68"/>
  <c r="D27" i="68" s="1"/>
  <c r="B24" i="1"/>
  <c r="F34" i="11" s="1"/>
  <c r="B23" i="1"/>
  <c r="C26" i="68" s="1"/>
  <c r="D22" i="68" s="1"/>
  <c r="C29" i="12"/>
  <c r="D28" i="12" s="1"/>
  <c r="C24" i="82"/>
  <c r="J18" i="78"/>
  <c r="AQ10" i="1"/>
  <c r="T10" i="1"/>
  <c r="AR10" i="1"/>
  <c r="E8" i="70"/>
  <c r="E9" i="70"/>
  <c r="AR8" i="1"/>
  <c r="AQ8" i="1"/>
  <c r="T8" i="1"/>
  <c r="AR9" i="1"/>
  <c r="T9" i="1"/>
  <c r="AQ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H20" i="6" s="1"/>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AA10" i="39"/>
  <c r="D10" i="68"/>
  <c r="D10" i="11"/>
  <c r="C10" i="11" s="1"/>
  <c r="D20" i="12"/>
  <c r="C20" i="12" s="1"/>
  <c r="C18" i="12" s="1"/>
  <c r="D22" i="6"/>
  <c r="D29" i="6"/>
  <c r="C13" i="12"/>
  <c r="P16" i="1"/>
  <c r="C11" i="12" s="1"/>
  <c r="F11" i="12"/>
  <c r="AC10" i="40"/>
  <c r="C44" i="68"/>
  <c r="D41" i="68" s="1"/>
  <c r="C26" i="69"/>
  <c r="D22" i="69" s="1"/>
  <c r="C44" i="69"/>
  <c r="D41" i="69" s="1"/>
  <c r="C26" i="11"/>
  <c r="D22" i="11" s="1"/>
  <c r="C24" i="11"/>
  <c r="C44" i="11"/>
  <c r="D41" i="11" s="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68"/>
  <c r="C47" i="11"/>
  <c r="D45" i="11" s="1"/>
  <c r="C29" i="11"/>
  <c r="D27" i="11" s="1"/>
  <c r="C28" i="11"/>
  <c r="C27" i="11" s="1"/>
  <c r="L16" i="1"/>
  <c r="C14" i="78"/>
  <c r="C14" i="82"/>
  <c r="C14" i="83"/>
  <c r="J18" i="83" l="1"/>
  <c r="F50" i="11"/>
  <c r="C26" i="12"/>
  <c r="D25" i="12" s="1"/>
  <c r="J24" i="83"/>
  <c r="D6" i="6"/>
  <c r="U11" i="21"/>
  <c r="AB11" i="21"/>
  <c r="F11" i="39"/>
  <c r="J11" i="39"/>
  <c r="H11" i="39"/>
  <c r="T48" i="21"/>
  <c r="W11" i="21"/>
  <c r="AC11" i="21"/>
  <c r="V48" i="21" s="1"/>
  <c r="I48" i="21" s="1"/>
  <c r="I52" i="21" s="1"/>
  <c r="J52" i="21" s="1"/>
  <c r="S11" i="21"/>
  <c r="AA11" i="21"/>
  <c r="K101" i="43"/>
  <c r="G101" i="43"/>
  <c r="AJ11" i="43"/>
  <c r="AJ13" i="43" s="1"/>
  <c r="AB11" i="43"/>
  <c r="AB13" i="43" s="1"/>
  <c r="AG11" i="43"/>
  <c r="AG13" i="43" s="1"/>
  <c r="Y11" i="43"/>
  <c r="Y13" i="43" s="1"/>
  <c r="F101" i="43"/>
  <c r="C101" i="43"/>
  <c r="H22" i="43"/>
  <c r="M101" i="43"/>
  <c r="AH11" i="43"/>
  <c r="AH13" i="43" s="1"/>
  <c r="Z11" i="43"/>
  <c r="Z13" i="43" s="1"/>
  <c r="AE11" i="43"/>
  <c r="AE13" i="43" s="1"/>
  <c r="L101" i="43"/>
  <c r="I101" i="43"/>
  <c r="F22" i="43"/>
  <c r="N101" i="43"/>
  <c r="J101" i="43"/>
  <c r="AF11" i="43"/>
  <c r="AF13" i="43" s="1"/>
  <c r="Z7" i="43"/>
  <c r="AC11" i="43"/>
  <c r="AC13" i="43" s="1"/>
  <c r="B113" i="43"/>
  <c r="E22" i="43"/>
  <c r="N104" i="46"/>
  <c r="H101" i="43"/>
  <c r="E101" i="43"/>
  <c r="AD11" i="43"/>
  <c r="AD13" i="43" s="1"/>
  <c r="AI11" i="43"/>
  <c r="AI13" i="43" s="1"/>
  <c r="AA11" i="43"/>
  <c r="AA13" i="43" s="1"/>
  <c r="D101" i="43"/>
  <c r="G22" i="43"/>
  <c r="C37" i="11"/>
  <c r="C34" i="11"/>
  <c r="F50" i="69"/>
  <c r="F34" i="68"/>
  <c r="C36" i="68" s="1"/>
  <c r="S5" i="43"/>
  <c r="T5" i="43" s="1"/>
  <c r="V5" i="43" s="1"/>
  <c r="S4" i="43"/>
  <c r="T4" i="43" s="1"/>
  <c r="V4" i="43" s="1"/>
  <c r="S3" i="43"/>
  <c r="T3" i="43" s="1"/>
  <c r="V3" i="43" s="1"/>
  <c r="S2" i="43"/>
  <c r="T2" i="43" s="1"/>
  <c r="V2" i="43" s="1"/>
  <c r="S7" i="43"/>
  <c r="T7" i="43" s="1"/>
  <c r="V7" i="43" s="1"/>
  <c r="S6" i="43"/>
  <c r="T6" i="43" s="1"/>
  <c r="V6" i="43" s="1"/>
  <c r="C23" i="43"/>
  <c r="C23" i="11"/>
  <c r="C25" i="11"/>
  <c r="H23" i="6"/>
  <c r="D10" i="6"/>
  <c r="D24" i="6"/>
  <c r="D25" i="6"/>
  <c r="C15" i="83"/>
  <c r="C18" i="83"/>
  <c r="M59" i="83"/>
  <c r="L59" i="83" s="1"/>
  <c r="J53" i="83"/>
  <c r="C18" i="82"/>
  <c r="C15" i="82"/>
  <c r="J53" i="82"/>
  <c r="J53" i="78"/>
  <c r="M59" i="82"/>
  <c r="L59" i="82" s="1"/>
  <c r="M59" i="78"/>
  <c r="L59" i="78" s="1"/>
  <c r="M59" i="15"/>
  <c r="L59" i="15" s="1"/>
  <c r="M59" i="67"/>
  <c r="J53" i="15"/>
  <c r="C18" i="78"/>
  <c r="C15" i="78"/>
  <c r="H26" i="6"/>
  <c r="H25" i="6"/>
  <c r="L19" i="9"/>
  <c r="D9" i="6"/>
  <c r="D20" i="6"/>
  <c r="D21" i="6"/>
  <c r="D15" i="6"/>
  <c r="M19" i="9"/>
  <c r="C118" i="9" s="1"/>
  <c r="C14" i="74" s="1"/>
  <c r="B2" i="74" s="1"/>
  <c r="R20" i="6"/>
  <c r="R7" i="1" s="1"/>
  <c r="H24" i="6"/>
  <c r="H21" i="6"/>
  <c r="H22" i="6"/>
  <c r="R22" i="6" s="1"/>
  <c r="R9" i="1" s="1"/>
  <c r="E61" i="40"/>
  <c r="D28" i="6"/>
  <c r="D13" i="6"/>
  <c r="D11" i="6"/>
  <c r="D12" i="6"/>
  <c r="D5" i="6"/>
  <c r="D14" i="6"/>
  <c r="D23" i="6"/>
  <c r="D8" i="6"/>
  <c r="C18" i="4"/>
  <c r="A7" i="51" s="1"/>
  <c r="B7" i="72" s="1"/>
  <c r="D26" i="6"/>
  <c r="D19" i="6"/>
  <c r="R19" i="6" s="1"/>
  <c r="C36" i="11"/>
  <c r="J24" i="67"/>
  <c r="J18" i="67"/>
  <c r="J24" i="15"/>
  <c r="J18" i="15"/>
  <c r="G36" i="36"/>
  <c r="R37" i="36"/>
  <c r="AB7" i="34"/>
  <c r="T49" i="34" s="1"/>
  <c r="G49" i="34" s="1"/>
  <c r="G53" i="34" s="1"/>
  <c r="H53" i="34" s="1"/>
  <c r="W7" i="21"/>
  <c r="AA7" i="21"/>
  <c r="R48" i="21" s="1"/>
  <c r="E48" i="21" s="1"/>
  <c r="E52" i="21" s="1"/>
  <c r="F52" i="21" s="1"/>
  <c r="R26" i="6"/>
  <c r="R23" i="6"/>
  <c r="R10" i="1" s="1"/>
  <c r="D30" i="6"/>
  <c r="C4" i="52"/>
  <c r="B45" i="72" s="1"/>
  <c r="D19" i="68"/>
  <c r="C10"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F35" i="82"/>
  <c r="M21" i="82"/>
  <c r="M21" i="78"/>
  <c r="F35" i="78"/>
  <c r="R25" i="6" l="1"/>
  <c r="D103" i="43"/>
  <c r="D107" i="43"/>
  <c r="D106" i="43"/>
  <c r="D109" i="43"/>
  <c r="D104" i="43"/>
  <c r="D105" i="43"/>
  <c r="D102" i="43"/>
  <c r="E104" i="43"/>
  <c r="E105" i="43"/>
  <c r="E102" i="43"/>
  <c r="E103" i="43"/>
  <c r="E107" i="43"/>
  <c r="E109" i="43"/>
  <c r="E106" i="43"/>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J104" i="43"/>
  <c r="J107" i="43"/>
  <c r="J109" i="43"/>
  <c r="J106" i="43"/>
  <c r="J105" i="43"/>
  <c r="J102" i="43"/>
  <c r="J103" i="43"/>
  <c r="L109" i="43"/>
  <c r="L105" i="43"/>
  <c r="L106" i="43"/>
  <c r="L103" i="43"/>
  <c r="L102" i="43"/>
  <c r="L104" i="43"/>
  <c r="L107" i="43"/>
  <c r="M104" i="43"/>
  <c r="M105" i="43"/>
  <c r="M106" i="43"/>
  <c r="M109" i="43"/>
  <c r="M107" i="43"/>
  <c r="M102" i="43"/>
  <c r="M103" i="43"/>
  <c r="C104" i="43"/>
  <c r="C106" i="43"/>
  <c r="C102" i="43"/>
  <c r="C103" i="43"/>
  <c r="C109" i="43"/>
  <c r="C105" i="43"/>
  <c r="C107" i="43"/>
  <c r="G105" i="43"/>
  <c r="G104" i="43"/>
  <c r="G109" i="43"/>
  <c r="G103" i="43"/>
  <c r="G102" i="43"/>
  <c r="G106" i="43"/>
  <c r="G107" i="43"/>
  <c r="W11" i="39"/>
  <c r="AC11" i="39"/>
  <c r="A10" i="51"/>
  <c r="B9" i="72" s="1"/>
  <c r="H27" i="6"/>
  <c r="H106" i="43"/>
  <c r="H102" i="43"/>
  <c r="H104" i="43"/>
  <c r="H107" i="43"/>
  <c r="H105" i="43"/>
  <c r="H103" i="43"/>
  <c r="H109" i="43"/>
  <c r="D22" i="43"/>
  <c r="C21" i="43" s="1"/>
  <c r="N109" i="43"/>
  <c r="N103" i="43"/>
  <c r="N104" i="43"/>
  <c r="N102" i="43"/>
  <c r="N107" i="43"/>
  <c r="N105" i="43"/>
  <c r="N106" i="43"/>
  <c r="I102" i="43"/>
  <c r="I103" i="43"/>
  <c r="I107" i="43"/>
  <c r="I109" i="43"/>
  <c r="I106" i="43"/>
  <c r="I104" i="43"/>
  <c r="I105" i="43"/>
  <c r="F107" i="43"/>
  <c r="F105" i="43"/>
  <c r="F102" i="43"/>
  <c r="F104" i="43"/>
  <c r="F106" i="43"/>
  <c r="F109" i="43"/>
  <c r="F103" i="43"/>
  <c r="K102" i="43"/>
  <c r="K106" i="43"/>
  <c r="K109" i="43"/>
  <c r="K103" i="43"/>
  <c r="K105" i="43"/>
  <c r="K104" i="43"/>
  <c r="K107" i="43"/>
  <c r="U11" i="39"/>
  <c r="AB11" i="39"/>
  <c r="AA11" i="39"/>
  <c r="S11" i="39"/>
  <c r="C34" i="68"/>
  <c r="C35" i="68" s="1"/>
  <c r="C22" i="11"/>
  <c r="C31" i="11" s="1"/>
  <c r="R24" i="6"/>
  <c r="R11" i="1" s="1"/>
  <c r="D16" i="6"/>
  <c r="R21" i="6"/>
  <c r="R8" i="1" s="1"/>
  <c r="C19" i="83"/>
  <c r="C20" i="83" s="1"/>
  <c r="F1" i="83"/>
  <c r="Q52" i="83"/>
  <c r="Q74" i="83"/>
  <c r="Q61" i="83"/>
  <c r="C19" i="82"/>
  <c r="C20" i="82" s="1"/>
  <c r="C26" i="82" s="1"/>
  <c r="Q61" i="78"/>
  <c r="Q74" i="78"/>
  <c r="F1" i="78"/>
  <c r="Q52" i="78"/>
  <c r="L56" i="15"/>
  <c r="F1" i="15"/>
  <c r="Q52" i="15"/>
  <c r="Q74" i="15"/>
  <c r="Q61" i="15"/>
  <c r="Q74" i="82"/>
  <c r="Q61" i="82"/>
  <c r="Q52" i="82"/>
  <c r="F1" i="82"/>
  <c r="C19" i="78"/>
  <c r="C20" i="78" s="1"/>
  <c r="C26" i="78" s="1"/>
  <c r="F63" i="82"/>
  <c r="C62" i="82" s="1"/>
  <c r="C34" i="82"/>
  <c r="J20" i="82"/>
  <c r="D27" i="6"/>
  <c r="J20" i="78"/>
  <c r="F63" i="78"/>
  <c r="C62" i="78" s="1"/>
  <c r="C34" i="78"/>
  <c r="D31" i="6"/>
  <c r="I6" i="6" s="1"/>
  <c r="R49" i="21"/>
  <c r="C48" i="21" s="1"/>
  <c r="G54" i="34"/>
  <c r="H54" i="34" s="1"/>
  <c r="I53" i="21"/>
  <c r="J53" i="21" s="1"/>
  <c r="C37" i="36"/>
  <c r="C36" i="36"/>
  <c r="G40" i="36"/>
  <c r="H40" i="36" s="1"/>
  <c r="E41" i="36"/>
  <c r="F41" i="36" s="1"/>
  <c r="G41" i="36"/>
  <c r="H41" i="36" s="1"/>
  <c r="C19" i="68"/>
  <c r="D37" i="68"/>
  <c r="C37" i="68" s="1"/>
  <c r="R6" i="1"/>
  <c r="C16" i="12"/>
  <c r="C21" i="12" s="1"/>
  <c r="C38"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AE11" i="1"/>
  <c r="F35" i="15"/>
  <c r="AE9" i="1"/>
  <c r="M21" i="83"/>
  <c r="F35" i="67"/>
  <c r="AE10" i="1"/>
  <c r="M21" i="67"/>
  <c r="M21" i="15"/>
  <c r="F35" i="83"/>
  <c r="R27" i="6" l="1"/>
  <c r="C29" i="43"/>
  <c r="D113" i="43"/>
  <c r="J22" i="43" s="1"/>
  <c r="F63" i="83"/>
  <c r="C62" i="83" s="1"/>
  <c r="C34" i="83"/>
  <c r="J20" i="83"/>
  <c r="C26" i="83"/>
  <c r="C23" i="83"/>
  <c r="C23" i="82"/>
  <c r="C29" i="82" s="1"/>
  <c r="C23" i="78"/>
  <c r="C29" i="78" s="1"/>
  <c r="C57" i="78" s="1"/>
  <c r="L57" i="78"/>
  <c r="L60" i="78" s="1"/>
  <c r="I5" i="6"/>
  <c r="C49" i="21"/>
  <c r="F63" i="67"/>
  <c r="C62" i="67" s="1"/>
  <c r="C34" i="67"/>
  <c r="J20" i="67"/>
  <c r="C24" i="68"/>
  <c r="J20" i="15"/>
  <c r="F63" i="15"/>
  <c r="C62" i="15" s="1"/>
  <c r="C34" i="15"/>
  <c r="R16" i="1"/>
  <c r="C22" i="12"/>
  <c r="C33" i="68"/>
  <c r="I63" i="40"/>
  <c r="H65" i="40"/>
  <c r="C39" i="11"/>
  <c r="C43" i="11" s="1"/>
  <c r="C41" i="11" s="1"/>
  <c r="I70" i="39"/>
  <c r="F41" i="78"/>
  <c r="F41" i="82"/>
  <c r="E29" i="43" l="1"/>
  <c r="C26" i="43" s="1"/>
  <c r="C30" i="43"/>
  <c r="E30" i="43" s="1"/>
  <c r="C27" i="43" s="1"/>
  <c r="C29" i="83"/>
  <c r="C36" i="83" s="1"/>
  <c r="F69" i="82"/>
  <c r="J29" i="82"/>
  <c r="J29" i="78"/>
  <c r="F69" i="78"/>
  <c r="C36" i="82"/>
  <c r="J14" i="82"/>
  <c r="Q49" i="82"/>
  <c r="J59" i="82"/>
  <c r="J60" i="82" s="1"/>
  <c r="C57" i="82"/>
  <c r="J19" i="82"/>
  <c r="J17" i="82" s="1"/>
  <c r="C13" i="82"/>
  <c r="C33" i="82"/>
  <c r="C31" i="82" s="1"/>
  <c r="C33" i="78"/>
  <c r="C31" i="78" s="1"/>
  <c r="C13" i="78"/>
  <c r="C56" i="78" s="1"/>
  <c r="C65" i="78" s="1"/>
  <c r="J19" i="78"/>
  <c r="J17" i="78" s="1"/>
  <c r="Q49" i="78"/>
  <c r="J14" i="78"/>
  <c r="J22" i="78" s="1"/>
  <c r="J59" i="78"/>
  <c r="J60" i="78" s="1"/>
  <c r="Q48" i="78" s="1"/>
  <c r="C36" i="78"/>
  <c r="C75" i="78"/>
  <c r="C61" i="78"/>
  <c r="C59" i="78" s="1"/>
  <c r="C64" i="78"/>
  <c r="Q66" i="78"/>
  <c r="Q57" i="78"/>
  <c r="C39" i="68"/>
  <c r="C43" i="68" s="1"/>
  <c r="C42" i="68"/>
  <c r="J63" i="40"/>
  <c r="I65" i="40"/>
  <c r="C46" i="11"/>
  <c r="C45" i="11" s="1"/>
  <c r="C49" i="11" s="1"/>
  <c r="C51" i="11" s="1"/>
  <c r="C52" i="11" s="1"/>
  <c r="B2" i="11" s="1"/>
  <c r="B3" i="11" s="1"/>
  <c r="J70" i="39"/>
  <c r="E6" i="76"/>
  <c r="E2" i="76" l="1"/>
  <c r="B2" i="43"/>
  <c r="C33" i="83"/>
  <c r="C31" i="83" s="1"/>
  <c r="Q49" i="83"/>
  <c r="C13" i="83"/>
  <c r="J19" i="83"/>
  <c r="J17" i="83" s="1"/>
  <c r="J14" i="83"/>
  <c r="C57" i="83"/>
  <c r="C37" i="78"/>
  <c r="Q48" i="82"/>
  <c r="L46" i="82"/>
  <c r="J13" i="82"/>
  <c r="J23" i="82" s="1"/>
  <c r="J22" i="82"/>
  <c r="Q70" i="82"/>
  <c r="C56" i="82"/>
  <c r="C65" i="82" s="1"/>
  <c r="C75" i="82"/>
  <c r="C37" i="82"/>
  <c r="C30" i="82" s="1"/>
  <c r="C39" i="82" s="1"/>
  <c r="C64" i="82"/>
  <c r="C61" i="82"/>
  <c r="C59" i="82" s="1"/>
  <c r="Q70" i="78"/>
  <c r="C58" i="78"/>
  <c r="C67" i="78" s="1"/>
  <c r="C68" i="78" s="1"/>
  <c r="C71" i="78" s="1"/>
  <c r="J13" i="78"/>
  <c r="J23" i="78" s="1"/>
  <c r="J16" i="78" s="1"/>
  <c r="J25" i="78" s="1"/>
  <c r="C30" i="78"/>
  <c r="C39" i="78" s="1"/>
  <c r="C40" i="78" s="1"/>
  <c r="L46" i="78"/>
  <c r="C41" i="68"/>
  <c r="C46" i="68"/>
  <c r="C45" i="68" s="1"/>
  <c r="K63" i="40"/>
  <c r="J65" i="40"/>
  <c r="K70" i="39"/>
  <c r="C56" i="11"/>
  <c r="C57" i="11" s="1"/>
  <c r="L51" i="82"/>
  <c r="B6" i="76"/>
  <c r="B2" i="76" l="1"/>
  <c r="B3" i="76" s="1"/>
  <c r="B3" i="43"/>
  <c r="Q70" i="83"/>
  <c r="C56" i="83"/>
  <c r="C65" i="83" s="1"/>
  <c r="C37" i="83"/>
  <c r="C30" i="83" s="1"/>
  <c r="C39" i="83" s="1"/>
  <c r="C75" i="83"/>
  <c r="C64" i="83"/>
  <c r="C61" i="83"/>
  <c r="C59" i="83" s="1"/>
  <c r="J13" i="83"/>
  <c r="J23" i="83" s="1"/>
  <c r="J22" i="83"/>
  <c r="C58" i="82"/>
  <c r="C67" i="82" s="1"/>
  <c r="C68" i="82" s="1"/>
  <c r="C71" i="82" s="1"/>
  <c r="J16" i="82"/>
  <c r="J25" i="82" s="1"/>
  <c r="Q67" i="82"/>
  <c r="Q69" i="82"/>
  <c r="Q68" i="82" s="1"/>
  <c r="C40" i="82"/>
  <c r="C80" i="82"/>
  <c r="C79" i="82" s="1"/>
  <c r="Q69" i="78"/>
  <c r="Q68" i="78" s="1"/>
  <c r="C80" i="78"/>
  <c r="C79" i="78" s="1"/>
  <c r="C43" i="78"/>
  <c r="C83" i="78"/>
  <c r="C82" i="78" s="1"/>
  <c r="B2" i="78"/>
  <c r="Q47" i="78"/>
  <c r="Q53" i="78" s="1"/>
  <c r="Q65" i="78"/>
  <c r="Q75" i="78" s="1"/>
  <c r="Q56" i="78"/>
  <c r="Q62" i="78" s="1"/>
  <c r="C46" i="78"/>
  <c r="C49" i="68"/>
  <c r="C51" i="68" s="1"/>
  <c r="L63" i="40"/>
  <c r="K65" i="40"/>
  <c r="L70" i="39"/>
  <c r="E2" i="70"/>
  <c r="C34" i="69"/>
  <c r="L51" i="83"/>
  <c r="L51" i="78"/>
  <c r="AO9" i="1"/>
  <c r="C17" i="67"/>
  <c r="C46" i="82" l="1"/>
  <c r="J16" i="83"/>
  <c r="J25" i="83" s="1"/>
  <c r="C58" i="83"/>
  <c r="C67" i="83" s="1"/>
  <c r="C80" i="83"/>
  <c r="C79" i="83" s="1"/>
  <c r="Q67" i="83"/>
  <c r="Q69" i="83"/>
  <c r="Q68" i="83" s="1"/>
  <c r="Q67" i="78"/>
  <c r="Q47" i="82"/>
  <c r="Q53" i="82" s="1"/>
  <c r="Q65" i="82"/>
  <c r="Q75" i="82" s="1"/>
  <c r="C43" i="82"/>
  <c r="B2" i="82"/>
  <c r="Q56" i="82"/>
  <c r="Q62" i="82" s="1"/>
  <c r="C83" i="82"/>
  <c r="C82" i="82" s="1"/>
  <c r="B9" i="70"/>
  <c r="F8" i="12"/>
  <c r="B3" i="78"/>
  <c r="F6" i="12" s="1"/>
  <c r="M63" i="40"/>
  <c r="L65" i="40"/>
  <c r="M70" i="39"/>
  <c r="C35" i="69"/>
  <c r="C38" i="69"/>
  <c r="D10" i="69"/>
  <c r="AO10" i="1"/>
  <c r="B10" i="70" l="1"/>
  <c r="G8" i="12"/>
  <c r="B3" i="82"/>
  <c r="G6"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67"/>
  <c r="M27" i="15"/>
  <c r="F41" i="67"/>
  <c r="F41" i="15"/>
  <c r="F41" i="83"/>
  <c r="J29" i="83" l="1"/>
  <c r="F69" i="83"/>
  <c r="C68" i="83" s="1"/>
  <c r="C71" i="83" s="1"/>
  <c r="C40" i="83"/>
  <c r="Q47" i="83" s="1"/>
  <c r="Q53" i="83" s="1"/>
  <c r="J26" i="15"/>
  <c r="J29" i="15" s="1"/>
  <c r="J26" i="67"/>
  <c r="J29" i="67" s="1"/>
  <c r="C58" i="15"/>
  <c r="C67" i="15" s="1"/>
  <c r="F69" i="15"/>
  <c r="C40" i="15"/>
  <c r="C43" i="15" s="1"/>
  <c r="L46" i="15"/>
  <c r="Q57" i="15"/>
  <c r="Q66" i="15"/>
  <c r="F69" i="67"/>
  <c r="C68" i="67" s="1"/>
  <c r="C71" i="67" s="1"/>
  <c r="C40" i="67"/>
  <c r="C83" i="67" s="1"/>
  <c r="C82" i="67" s="1"/>
  <c r="C83" i="83" l="1"/>
  <c r="C82" i="83" s="1"/>
  <c r="C43" i="83"/>
  <c r="Q56" i="83"/>
  <c r="Q62" i="83" s="1"/>
  <c r="Q65" i="83"/>
  <c r="Q75" i="83" s="1"/>
  <c r="C46" i="83"/>
  <c r="B2" i="83"/>
  <c r="B3" i="83" s="1"/>
  <c r="H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E2" i="69"/>
  <c r="AO6" i="1"/>
  <c r="AO8" i="1"/>
  <c r="AO7" i="1"/>
  <c r="B11" i="70" l="1"/>
  <c r="H8" i="12"/>
  <c r="B3" i="15"/>
  <c r="E6" i="12" s="1"/>
  <c r="E8" i="12"/>
  <c r="B8" i="70"/>
  <c r="B7" i="70"/>
  <c r="B6" i="70"/>
  <c r="C46" i="15"/>
  <c r="B2" i="69"/>
  <c r="B3" i="69" s="1"/>
  <c r="B3" i="67"/>
  <c r="D2" i="36"/>
  <c r="D2" i="21"/>
  <c r="E2" i="68"/>
  <c r="D2" i="37"/>
  <c r="D2" i="35"/>
  <c r="D2" i="34"/>
  <c r="F20" i="31"/>
  <c r="D2" i="33"/>
  <c r="B20" i="31" l="1"/>
  <c r="B2" i="36"/>
  <c r="B3" i="36" s="1"/>
  <c r="B2" i="35"/>
  <c r="B3" i="35" s="1"/>
  <c r="B2" i="37"/>
  <c r="B3" i="37" s="1"/>
  <c r="B2" i="34"/>
  <c r="B3" i="34" s="1"/>
  <c r="B2" i="21"/>
  <c r="B2" i="70"/>
  <c r="B3" i="70" s="1"/>
  <c r="B3" i="21" l="1"/>
  <c r="C6" i="12" s="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8" i="68" l="1"/>
  <c r="C27" i="68" s="1"/>
  <c r="C25" i="68"/>
  <c r="C22" i="68" s="1"/>
  <c r="H112" i="9"/>
  <c r="D21" i="53" s="1"/>
  <c r="B39" i="72" s="1"/>
  <c r="H111" i="9"/>
  <c r="D126" i="9" s="1"/>
  <c r="D19" i="53"/>
  <c r="D59" i="9"/>
  <c r="M55" i="9"/>
  <c r="C31" i="68" l="1"/>
  <c r="C52" i="68" s="1"/>
  <c r="C57" i="68" s="1"/>
  <c r="C56" i="68" s="1"/>
  <c r="B38" i="72"/>
  <c r="D20" i="53"/>
  <c r="B40" i="72" s="1"/>
  <c r="I14" i="74"/>
  <c r="B8" i="74" s="1"/>
  <c r="D127" i="9"/>
  <c r="D13" i="52" s="1"/>
  <c r="D12" i="52"/>
  <c r="B2" i="68" l="1"/>
  <c r="D8" i="74"/>
  <c r="C8" i="74"/>
  <c r="C19" i="9"/>
  <c r="B3" i="68" l="1"/>
  <c r="C21" i="9"/>
  <c r="D22" i="9"/>
  <c r="C102" i="9"/>
  <c r="G19" i="9"/>
  <c r="D35" i="9"/>
  <c r="C20" i="9"/>
  <c r="D34" i="9"/>
  <c r="C32" i="9" l="1"/>
  <c r="H118" i="9" s="1"/>
  <c r="J20" i="9"/>
  <c r="C103" i="9"/>
  <c r="G20" i="9"/>
  <c r="G21" i="9"/>
  <c r="C35" i="9" l="1"/>
  <c r="F118" i="9" s="1"/>
  <c r="F4" i="52" s="1"/>
  <c r="B51" i="72" s="1"/>
  <c r="C104" i="9"/>
  <c r="I118" i="9"/>
  <c r="D14" i="74"/>
  <c r="H101" i="9"/>
  <c r="H119" i="9"/>
  <c r="H5" i="52" s="1"/>
  <c r="H4" i="52"/>
  <c r="F119" i="9" l="1"/>
  <c r="F5" i="52" s="1"/>
  <c r="B53" i="72" s="1"/>
  <c r="G118" i="9"/>
  <c r="G4" i="52" s="1"/>
  <c r="B52" i="72" s="1"/>
  <c r="C34" i="9"/>
  <c r="D118" i="9" s="1"/>
  <c r="D4" i="52" s="1"/>
  <c r="B47" i="72" s="1"/>
  <c r="E14" i="74"/>
  <c r="F14" i="74"/>
  <c r="M48" i="9"/>
  <c r="H107" i="9"/>
  <c r="D45" i="9"/>
  <c r="D5" i="53"/>
  <c r="C105" i="9"/>
  <c r="I4" i="52"/>
  <c r="H102" i="9"/>
  <c r="D7" i="53" s="1"/>
  <c r="B21" i="72" s="1"/>
  <c r="E118" i="9"/>
  <c r="E4" i="52" s="1"/>
  <c r="B48" i="72" s="1"/>
  <c r="D119" i="9" l="1"/>
  <c r="D5" i="52" s="1"/>
  <c r="B49" i="72" s="1"/>
  <c r="D53" i="9"/>
  <c r="C93" i="9"/>
  <c r="C86" i="9" s="1"/>
  <c r="C78" i="9"/>
  <c r="C73" i="9" s="1"/>
  <c r="C64" i="9"/>
  <c r="C63" i="9" s="1"/>
  <c r="C67" i="9" s="1"/>
  <c r="C68" i="9" s="1"/>
  <c r="D54" i="9" s="1"/>
  <c r="D52" i="9"/>
  <c r="C85" i="9"/>
  <c r="C95" i="9" s="1"/>
  <c r="C96" i="9" s="1"/>
  <c r="E96" i="9" s="1"/>
  <c r="E97" i="9" s="1"/>
  <c r="D55" i="9"/>
  <c r="M53" i="9" s="1"/>
  <c r="C72" i="9"/>
  <c r="B20" i="72"/>
  <c r="D6" i="53"/>
  <c r="B22" i="72" s="1"/>
  <c r="M49" i="9"/>
  <c r="D122" i="9"/>
  <c r="D13" i="53"/>
  <c r="H108" i="9"/>
  <c r="D15" i="53" s="1"/>
  <c r="B31" i="72" s="1"/>
  <c r="C79" i="9" l="1"/>
  <c r="C80" i="9" s="1"/>
  <c r="E80" i="9" s="1"/>
  <c r="E81" i="9" s="1"/>
  <c r="C97" i="9"/>
  <c r="D58" i="9" s="1"/>
  <c r="D56" i="9" s="1"/>
  <c r="M54" i="9" s="1"/>
  <c r="N57" i="9" s="1"/>
  <c r="N59" i="9" s="1"/>
  <c r="D123" i="9"/>
  <c r="D9" i="52" s="1"/>
  <c r="G14" i="74"/>
  <c r="D8" i="52"/>
  <c r="D14" i="53"/>
  <c r="B32" i="72" s="1"/>
  <c r="B30" i="72"/>
  <c r="L66" i="9"/>
  <c r="M66" i="9" s="1"/>
  <c r="L65" i="9"/>
  <c r="M65" i="9" s="1"/>
  <c r="L67" i="9"/>
  <c r="M67" i="9" s="1"/>
  <c r="L68" i="9"/>
  <c r="M68" i="9" s="1"/>
  <c r="L63" i="9"/>
  <c r="M63" i="9" s="1"/>
  <c r="L64" i="9"/>
  <c r="M64" i="9" s="1"/>
  <c r="AD3" i="71"/>
  <c r="P21" i="43" s="1"/>
  <c r="P57" i="9" l="1"/>
  <c r="M69" i="9"/>
  <c r="N69" i="9" s="1"/>
  <c r="C81" i="9"/>
  <c r="N58" i="9"/>
  <c r="N60" i="9"/>
  <c r="N61" i="9"/>
  <c r="P22" i="43"/>
  <c r="P23" i="43"/>
  <c r="B71" i="39" s="1"/>
  <c r="P24" i="43"/>
  <c r="B66" i="40" s="1"/>
  <c r="P25" i="43"/>
  <c r="J19" i="9" l="1"/>
  <c r="D15" i="74" l="1"/>
  <c r="G15" i="74" s="1"/>
  <c r="B6" i="74" s="1"/>
  <c r="D6" i="74" l="1"/>
  <c r="C6" i="74"/>
  <c r="E15" i="74"/>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<sst xmlns="http://schemas.openxmlformats.org/spreadsheetml/2006/main" count="9081" uniqueCount="3414">
  <si>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</si>
  <si>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</si>
  <si>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</si>
  <si>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</si>
  <si>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</si>
  <si>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</si>
  <si>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</si>
  <si>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</si>
  <si>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</si>
  <si>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</si>
  <si>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</si>
  <si>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</si>
  <si>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</si>
  <si>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</si>
  <si>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</si>
  <si>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</si>
  <si>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</si>
  <si>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</si>
  <si>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</si>
  <si>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</si>
  <si>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</si>
  <si>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</si>
  <si>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</si>
  <si>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</si>
  <si>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</si>
  <si>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</si>
  <si>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</si>
  <si>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</si>
  <si>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</si>
  <si>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</si>
  <si>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</si>
  <si>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</si>
  <si>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</si>
  <si>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</si>
  <si>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</si>
  <si>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</si>
  <si>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</si>
  <si>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</si>
  <si>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</si>
  <si>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</si>
  <si>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</si>
  <si>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</si>
  <si>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</si>
  <si>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</si>
  <si>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</si>
  <si>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</si>
  <si>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</si>
  <si>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</si>
  <si>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</si>
  <si>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</si>
  <si>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</si>
  <si>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</si>
  <si>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</si>
  <si>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</si>
  <si>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</si>
  <si>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</si>
  <si>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</si>
  <si>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</si>
  <si>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</si>
  <si>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</si>
  <si>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</si>
  <si>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</si>
  <si>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</si>
  <si>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</si>
  <si>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</si>
  <si>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</si>
  <si>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</si>
  <si>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</si>
  <si>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</si>
  <si>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</si>
  <si>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</si>
  <si>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</si>
  <si>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</si>
  <si>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</si>
  <si>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</si>
  <si>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</si>
  <si>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</si>
  <si>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</si>
  <si>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</si>
  <si>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</si>
  <si>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</si>
  <si>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</si>
  <si>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</si>
  <si>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</si>
  <si>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</si>
  <si>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</si>
  <si>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</si>
  <si>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</si>
  <si>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</si>
  <si>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</si>
  <si>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</si>
  <si>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</si>
  <si>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</si>
  <si>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</si>
  <si>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</si>
  <si>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</si>
  <si>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</si>
  <si>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</si>
  <si>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</si>
  <si>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</si>
  <si>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</si>
  <si>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</si>
  <si>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</si>
  <si>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</si>
  <si>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</si>
  <si>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</si>
  <si>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</si>
  <si>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</si>
  <si>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</si>
  <si>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</si>
  <si>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</si>
  <si>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</si>
  <si>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</si>
  <si>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</si>
  <si>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</si>
  <si>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</si>
  <si>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</si>
  <si>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</si>
  <si>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</si>
  <si>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</si>
  <si>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</si>
  <si>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</si>
  <si>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</si>
  <si>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</si>
  <si>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</si>
  <si>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</si>
  <si>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</si>
  <si>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</si>
  <si>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</si>
  <si>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</si>
  <si>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</si>
  <si>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</si>
  <si>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</si>
  <si>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</si>
  <si>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</si>
  <si>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</si>
  <si>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</si>
  <si>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</si>
  <si>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</si>
  <si>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</si>
  <si>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</si>
  <si>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</si>
  <si>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</si>
  <si>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</si>
  <si>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</si>
  <si>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</si>
  <si>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</si>
  <si>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</si>
  <si>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</si>
  <si>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</si>
  <si>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</si>
  <si>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</si>
  <si>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</si>
  <si>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</si>
  <si>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</si>
  <si>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</si>
  <si>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</si>
  <si>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</si>
  <si>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</si>
  <si>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</si>
  <si>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</si>
  <si>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</si>
  <si>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</si>
  <si>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</si>
  <si>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</si>
  <si>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</si>
  <si>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</si>
  <si>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</si>
  <si>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</si>
  <si>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</si>
  <si>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</si>
  <si>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</si>
  <si>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</si>
  <si>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</si>
  <si>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</si>
  <si>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</si>
  <si>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</si>
  <si>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</si>
  <si>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</si>
  <si>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</si>
  <si>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</si>
  <si>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</si>
  <si>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</si>
  <si>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</si>
  <si>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</si>
  <si>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</si>
  <si>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</si>
  <si>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</si>
  <si>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</si>
  <si>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</si>
  <si>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</si>
  <si>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</si>
  <si>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</si>
  <si>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</si>
  <si>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</si>
  <si>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</si>
  <si>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</si>
  <si>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</si>
  <si>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</si>
  <si>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</si>
  <si>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</si>
  <si>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</si>
  <si>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</si>
  <si>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</si>
  <si>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</si>
  <si>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</si>
  <si>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</si>
  <si>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</si>
  <si>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</si>
  <si>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</si>
  <si>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</si>
  <si>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</si>
  <si>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</si>
  <si>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</si>
  <si>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</si>
  <si>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</si>
  <si>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</si>
  <si>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</si>
  <si>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</si>
  <si>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</si>
  <si>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</si>
  <si>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</si>
  <si>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</si>
  <si>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</si>
  <si>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</si>
  <si>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</si>
  <si>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</si>
  <si>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</si>
  <si>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</si>
  <si>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</si>
  <si>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</si>
  <si>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</si>
  <si>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</si>
  <si>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</si>
  <si>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</si>
  <si>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</si>
  <si>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</si>
  <si>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</si>
  <si>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</si>
  <si>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</si>
  <si>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</si>
  <si>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</si>
  <si>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</si>
  <si>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</si>
  <si>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</si>
  <si>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</si>
  <si>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</si>
  <si>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</si>
  <si>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</si>
  <si>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</si>
  <si>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</si>
  <si>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</si>
  <si>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</si>
  <si>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</si>
  <si>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</si>
  <si>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</si>
  <si>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</si>
  <si>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</si>
  <si>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</si>
  <si>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</si>
  <si>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</si>
  <si>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</si>
  <si>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</si>
  <si>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</si>
  <si>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</si>
  <si>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</si>
  <si>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</si>
  <si>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</si>
  <si>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</si>
  <si>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</si>
  <si>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</si>
  <si>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</si>
  <si>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</si>
  <si>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</si>
  <si>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</si>
  <si>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</si>
  <si>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</si>
  <si>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</si>
  <si>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</si>
  <si>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</si>
  <si>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</si>
  <si>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</si>
  <si>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</si>
  <si>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</si>
  <si>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</si>
  <si>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</si>
  <si>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</si>
  <si>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</si>
  <si>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</si>
  <si>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</si>
  <si>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</si>
  <si>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</si>
  <si>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</si>
  <si>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</si>
  <si>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</si>
  <si>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</si>
  <si>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</si>
  <si>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</si>
  <si>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</si>
  <si>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</si>
  <si>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</si>
  <si>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</si>
  <si>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</si>
  <si>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</si>
  <si>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</si>
  <si>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</si>
  <si>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</si>
  <si>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</si>
  <si>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</si>
  <si>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</si>
  <si>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</si>
  <si>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</si>
  <si>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</si>
  <si>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</si>
  <si>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</si>
  <si>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</si>
  <si>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</si>
  <si>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</si>
  <si>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</si>
  <si>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</si>
  <si>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</si>
  <si>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</si>
  <si>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</si>
  <si>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</si>
  <si>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</si>
  <si>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</si>
  <si>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</si>
  <si>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</si>
  <si>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</si>
  <si>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</si>
  <si>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</si>
  <si>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</si>
  <si>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</si>
  <si>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</si>
  <si>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</si>
  <si>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</si>
  <si>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</si>
  <si>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</si>
  <si>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</si>
  <si>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</si>
  <si>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</si>
  <si>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</si>
  <si>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</si>
  <si>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</si>
  <si>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</si>
  <si>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</si>
  <si>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</si>
  <si>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</si>
  <si>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</si>
  <si>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</si>
  <si>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</si>
  <si>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</si>
  <si>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</si>
  <si>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</si>
  <si>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</si>
  <si>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</si>
  <si>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</si>
  <si>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</si>
  <si>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</si>
  <si>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</si>
  <si>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</si>
  <si>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</si>
  <si>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</si>
  <si>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</si>
  <si>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</si>
  <si>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</si>
  <si>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</si>
  <si>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</si>
  <si>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</si>
  <si>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</si>
  <si>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</si>
  <si>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</si>
  <si>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</si>
  <si>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</si>
  <si>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</si>
  <si>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</si>
  <si>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</si>
  <si>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</si>
  <si>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</si>
  <si>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</si>
  <si>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</si>
  <si>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</si>
  <si>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</si>
  <si>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</si>
  <si>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</si>
  <si>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</si>
  <si>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</si>
  <si>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</si>
  <si>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</si>
  <si>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</si>
  <si>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</si>
  <si>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</si>
  <si>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</si>
  <si>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</si>
  <si>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</si>
  <si>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</si>
  <si>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</si>
  <si>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</si>
  <si>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</si>
  <si>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</si>
  <si>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</si>
  <si>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</si>
  <si>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</si>
  <si>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</si>
  <si>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</si>
  <si>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</si>
  <si>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</si>
  <si>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</si>
  <si>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</si>
  <si>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</si>
  <si>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</si>
  <si>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</si>
  <si>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</si>
  <si>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</si>
  <si>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</si>
  <si>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</si>
  <si>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</si>
  <si>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</si>
  <si>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</si>
  <si>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</si>
  <si>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</si>
  <si>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</si>
  <si>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</si>
  <si>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</si>
  <si>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</si>
  <si>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</si>
  <si>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</si>
  <si>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</si>
  <si>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</si>
  <si>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</si>
  <si>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</si>
  <si>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</si>
  <si>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</si>
  <si>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</si>
  <si>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</si>
  <si>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</si>
  <si>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</si>
  <si>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</si>
  <si>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</si>
  <si>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</si>
  <si>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</si>
  <si>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</si>
  <si>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</si>
  <si>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</si>
  <si>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</si>
  <si>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</si>
  <si>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</si>
  <si>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</si>
  <si>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</si>
  <si>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</si>
  <si>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</si>
  <si>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</si>
  <si>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</si>
  <si>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</si>
  <si>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</si>
  <si>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</si>
  <si>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</si>
  <si>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</si>
  <si>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</si>
  <si>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</si>
  <si>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</si>
  <si>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</si>
  <si>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</si>
  <si>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</si>
  <si>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</si>
  <si>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</si>
  <si>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</si>
  <si>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</si>
  <si>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</si>
  <si>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</si>
  <si>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</si>
  <si>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</si>
  <si>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</si>
  <si>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</si>
  <si>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</si>
  <si>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</si>
  <si>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</si>
  <si>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</si>
  <si>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</si>
  <si>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</si>
  <si>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</si>
  <si>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</si>
  <si>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</si>
  <si>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</si>
  <si>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</si>
  <si>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</si>
  <si>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</si>
  <si>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</si>
  <si>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</si>
  <si>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</si>
  <si>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</si>
  <si>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</si>
  <si>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</si>
  <si>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</si>
  <si>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</si>
  <si>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</si>
  <si>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</si>
  <si>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</si>
  <si>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</si>
  <si>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</si>
  <si>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</si>
  <si>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</si>
  <si>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</si>
  <si>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</si>
  <si>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</si>
  <si>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</si>
  <si>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</si>
  <si>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</si>
  <si>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</si>
  <si>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</si>
  <si>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</si>
  <si>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</si>
  <si>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</si>
  <si>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</si>
  <si>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</si>
  <si>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</si>
  <si>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</si>
  <si>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</si>
  <si>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</si>
  <si>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</si>
  <si>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</si>
  <si>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</si>
  <si>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</si>
  <si>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</si>
  <si>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</si>
  <si>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</si>
  <si>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</si>
  <si>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</si>
  <si>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</si>
  <si>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</si>
  <si>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</si>
  <si>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</si>
  <si>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</si>
  <si>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</si>
  <si>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</si>
  <si>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</si>
  <si>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</si>
  <si>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</si>
  <si>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</si>
  <si>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</si>
  <si>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</si>
  <si>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</si>
  <si>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</si>
  <si>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</si>
  <si>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</si>
  <si>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</si>
  <si>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</si>
  <si>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</si>
  <si>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</si>
  <si>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</si>
  <si>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</si>
  <si>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</si>
  <si>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</si>
  <si>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</si>
  <si>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</si>
  <si>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</si>
  <si>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</si>
  <si>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</si>
  <si>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</si>
  <si>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</si>
  <si>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</si>
  <si>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</si>
  <si>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</si>
  <si>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</si>
  <si>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</si>
  <si>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</si>
  <si>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</si>
  <si>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</si>
  <si>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</si>
  <si>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</si>
  <si>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</si>
  <si>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</si>
  <si>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</si>
  <si>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</si>
  <si>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</si>
  <si>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</si>
  <si>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</si>
  <si>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</si>
  <si>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</si>
  <si>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</si>
  <si>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</si>
  <si>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</si>
  <si>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</si>
  <si>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</si>
  <si>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</si>
  <si>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</si>
  <si>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</si>
  <si>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</si>
  <si>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</si>
  <si>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</si>
  <si>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</si>
  <si>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</si>
  <si>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</si>
  <si>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</si>
  <si>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</si>
  <si>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</si>
  <si>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</si>
  <si>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</si>
  <si>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</si>
  <si>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</si>
  <si>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</si>
  <si>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</si>
  <si>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</si>
  <si>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</si>
  <si>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</si>
  <si>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</si>
  <si>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</si>
  <si>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</si>
  <si>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</si>
  <si>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</si>
  <si>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</si>
  <si>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</si>
  <si>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</si>
  <si>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</si>
  <si>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</si>
  <si>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</si>
  <si>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</si>
  <si>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</si>
  <si>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</si>
  <si>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</si>
  <si>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</si>
  <si>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</si>
  <si>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</si>
  <si>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</si>
  <si>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</si>
  <si>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</si>
  <si>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</si>
  <si>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</si>
  <si>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</si>
  <si>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</si>
  <si>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</si>
  <si>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</si>
  <si>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</si>
  <si>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</si>
  <si>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</si>
  <si>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</si>
  <si>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</si>
  <si>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</si>
  <si>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</si>
  <si>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</si>
  <si>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</si>
  <si>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</si>
  <si>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</si>
  <si>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</si>
  <si>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</si>
  <si>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</si>
  <si>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</si>
  <si>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</si>
  <si>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</si>
  <si>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</si>
  <si>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</si>
  <si>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</si>
  <si>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</si>
  <si>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</si>
  <si>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</si>
  <si>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</si>
  <si>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</si>
  <si>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</si>
  <si>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</si>
  <si>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</si>
  <si>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</si>
  <si>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</si>
  <si>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</si>
  <si>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</si>
  <si>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</si>
  <si>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</si>
  <si>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</si>
  <si>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</si>
  <si>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</si>
  <si>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</si>
  <si>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</si>
  <si>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</si>
  <si>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</si>
  <si>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</si>
  <si>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</si>
  <si>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</si>
  <si>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</si>
  <si>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</si>
  <si>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</si>
  <si>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</si>
  <si>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</si>
  <si>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</si>
  <si>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</si>
  <si>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</si>
  <si>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</si>
  <si>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</si>
  <si>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</si>
  <si>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</si>
  <si>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</si>
  <si>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</si>
  <si>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</si>
  <si>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</si>
  <si>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</si>
  <si>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</si>
  <si>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</si>
  <si>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</si>
  <si>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</si>
  <si>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</si>
  <si>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</si>
  <si>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</si>
  <si>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</si>
  <si>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</si>
  <si>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</si>
  <si>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</si>
  <si>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</si>
  <si>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</si>
  <si>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</si>
  <si>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</si>
  <si>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</si>
  <si>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</si>
  <si>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</si>
  <si>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</si>
  <si>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</si>
  <si>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</si>
  <si>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</si>
  <si>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</si>
  <si>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</si>
  <si>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</si>
  <si>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</si>
  <si>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</si>
  <si>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</si>
  <si>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</si>
  <si>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</si>
  <si>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</si>
  <si>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</si>
  <si>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</si>
  <si>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</si>
  <si>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</si>
  <si>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</si>
  <si>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</si>
  <si>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</si>
  <si>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</si>
  <si>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</si>
  <si>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</si>
  <si>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</si>
  <si>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</si>
  <si>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</si>
  <si>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</si>
  <si>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</si>
  <si>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</si>
  <si>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</si>
  <si>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</si>
  <si>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</si>
  <si>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</si>
  <si>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</si>
  <si>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</si>
  <si>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</si>
  <si>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</si>
  <si>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</si>
  <si>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</si>
  <si>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</si>
  <si>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</si>
  <si>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</si>
  <si>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</si>
  <si>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</si>
  <si>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</si>
  <si>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</si>
  <si>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</si>
  <si>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</si>
  <si>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</si>
  <si>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</si>
  <si>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</si>
  <si>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</si>
  <si>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</si>
  <si>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</si>
  <si>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</si>
  <si>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</si>
  <si>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</si>
  <si>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</si>
  <si>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</si>
  <si>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</si>
  <si>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</si>
  <si>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</si>
  <si>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</si>
  <si>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</si>
  <si>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</si>
  <si>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</si>
  <si>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</si>
  <si>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</si>
  <si>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</si>
  <si>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</si>
  <si>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</si>
  <si>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</si>
  <si>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</si>
  <si>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</si>
  <si>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</si>
  <si>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</si>
  <si>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</si>
  <si>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</si>
  <si>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</si>
  <si>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</si>
  <si>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</si>
  <si>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</si>
  <si>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</si>
  <si>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</si>
  <si>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</si>
  <si>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</si>
  <si>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</si>
  <si>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</si>
  <si>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</si>
  <si>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</si>
  <si>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</si>
  <si>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</si>
  <si>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</si>
  <si>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</si>
  <si>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</si>
  <si>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</si>
  <si>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</si>
  <si>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</si>
  <si>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</si>
  <si>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</si>
  <si>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</si>
  <si>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</si>
  <si>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</si>
  <si>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</si>
  <si>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</si>
  <si>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</si>
  <si>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</si>
  <si>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</si>
  <si>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</si>
  <si>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</si>
  <si>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</si>
  <si>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</si>
  <si>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</si>
  <si>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</si>
  <si>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</si>
  <si>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</si>
  <si>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</si>
  <si>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</si>
  <si>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</si>
  <si>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</si>
  <si>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</si>
  <si>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</si>
  <si>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</si>
  <si>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</si>
  <si>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</si>
  <si>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</si>
  <si>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</si>
  <si>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</si>
  <si>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</si>
  <si>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</si>
  <si>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</si>
  <si>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</si>
  <si>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</si>
  <si>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</si>
  <si>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</si>
  <si>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</si>
  <si>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</si>
  <si>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</si>
  <si>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</si>
  <si>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</si>
  <si>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</si>
  <si>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</si>
  <si>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</si>
  <si>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</si>
  <si>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</si>
  <si>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</si>
  <si>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</si>
  <si>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</si>
  <si>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</si>
  <si>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</si>
  <si>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</si>
  <si>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</si>
  <si>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</si>
  <si>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</si>
  <si>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</si>
  <si>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</si>
  <si>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</si>
  <si>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</si>
  <si>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</si>
  <si>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</si>
  <si>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</si>
  <si>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</si>
  <si>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</si>
  <si>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</si>
  <si>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</si>
  <si>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</si>
  <si>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</si>
  <si>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</si>
  <si>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</si>
  <si>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</si>
  <si>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</si>
  <si>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</si>
  <si>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</si>
  <si>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</si>
  <si>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</si>
  <si>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</si>
  <si>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</si>
  <si>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</si>
  <si>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</si>
  <si>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</si>
  <si>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</si>
  <si>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</si>
  <si>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</si>
  <si>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</si>
  <si>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</si>
  <si>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</si>
  <si>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</si>
  <si>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</si>
  <si>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</si>
  <si>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</si>
  <si>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</si>
  <si>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</si>
  <si>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</si>
  <si>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</si>
  <si>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</si>
  <si>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</si>
  <si>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</si>
  <si>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</si>
  <si>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</si>
  <si>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</si>
  <si>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</si>
  <si>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</si>
  <si>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</si>
  <si>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</si>
  <si>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</si>
  <si>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</si>
  <si>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</si>
  <si>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</si>
  <si>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</si>
  <si>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</si>
  <si>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</si>
  <si>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</si>
  <si>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</si>
  <si>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</si>
  <si>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</si>
  <si>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</si>
  <si>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</si>
  <si>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</si>
  <si>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</si>
  <si>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</si>
  <si>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</si>
  <si>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</si>
  <si>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</si>
  <si>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</si>
  <si>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</si>
  <si>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</si>
  <si>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</si>
  <si>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</si>
  <si>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</si>
  <si>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</si>
  <si>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</si>
  <si>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</si>
  <si>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</si>
  <si>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</si>
  <si>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</si>
  <si>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</si>
  <si>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</si>
  <si>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</si>
  <si>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</si>
  <si>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</si>
  <si>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</si>
  <si>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</si>
  <si>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</si>
  <si>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</si>
  <si>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</si>
  <si>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</si>
  <si>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</si>
  <si>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</si>
  <si>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</si>
  <si>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</si>
  <si>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</si>
  <si>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</si>
  <si>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</si>
  <si>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</si>
  <si>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</si>
  <si>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</si>
  <si>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</si>
  <si>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</si>
  <si>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</si>
  <si>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</si>
  <si>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</si>
  <si>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</si>
  <si>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</si>
  <si>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</si>
  <si>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</si>
  <si>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</si>
  <si>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</si>
  <si>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</si>
  <si>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</si>
  <si>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</si>
  <si>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</si>
  <si>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</si>
  <si>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</si>
  <si>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</si>
  <si>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</si>
  <si>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</si>
  <si>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</si>
  <si>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</si>
  <si>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</si>
  <si>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</si>
  <si>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</si>
  <si>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</si>
  <si>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</si>
  <si>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</si>
  <si>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</si>
  <si>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</si>
  <si>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</si>
  <si>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</si>
  <si>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</si>
  <si>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</si>
  <si>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</si>
  <si>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</si>
  <si>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</si>
  <si>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</si>
  <si>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</si>
  <si>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</si>
  <si>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</si>
  <si>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</si>
  <si>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</si>
  <si>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</si>
  <si>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</si>
  <si>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</si>
  <si>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</si>
  <si>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</si>
  <si>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</si>
  <si>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</si>
  <si>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</si>
  <si>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</si>
  <si>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</si>
  <si>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</si>
  <si>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</si>
  <si>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</si>
  <si>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</si>
  <si>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</si>
  <si>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</si>
  <si>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</si>
  <si>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</si>
  <si>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</si>
  <si>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</si>
  <si>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</si>
  <si>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</si>
  <si>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</si>
  <si>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</si>
  <si>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</si>
  <si>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</si>
  <si>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</si>
  <si>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</si>
  <si>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</si>
  <si>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</si>
  <si>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</si>
  <si>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</si>
  <si>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</si>
  <si>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</si>
  <si>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</si>
  <si>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</si>
  <si>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</si>
  <si>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</si>
  <si>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</si>
  <si>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</si>
  <si>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</si>
  <si>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</si>
  <si>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</si>
  <si>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</si>
  <si>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</si>
  <si>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</si>
  <si>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</si>
  <si>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</si>
  <si>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</si>
  <si>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</si>
  <si>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</si>
  <si>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</si>
  <si>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</si>
  <si>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</si>
  <si>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</si>
  <si>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</si>
  <si>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</si>
  <si>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</si>
  <si>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</si>
  <si>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</si>
  <si>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</si>
  <si>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</si>
  <si>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</si>
  <si>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</si>
  <si>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</si>
  <si>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</si>
  <si>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</si>
  <si>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</si>
  <si>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</si>
  <si>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</si>
  <si>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</si>
  <si>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</si>
  <si>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</si>
  <si>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</si>
  <si>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</si>
  <si>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</si>
  <si>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</si>
  <si>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</si>
  <si>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</si>
  <si>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</si>
  <si>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</si>
  <si>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</si>
  <si>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</si>
  <si>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</si>
  <si>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</si>
  <si>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</si>
  <si>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</si>
  <si>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</si>
  <si>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</si>
  <si>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</si>
  <si>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</si>
  <si>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</si>
  <si>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</si>
  <si>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</si>
  <si>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</si>
  <si>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</si>
  <si>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</si>
  <si>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</si>
  <si>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</si>
  <si>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</si>
  <si>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</si>
  <si>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</si>
  <si>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</si>
  <si>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</si>
  <si>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</si>
  <si>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</si>
  <si>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</si>
  <si>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</si>
  <si>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</si>
  <si>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</si>
  <si>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</si>
  <si>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</si>
  <si>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</si>
  <si>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</si>
  <si>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</si>
  <si>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</si>
  <si>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</si>
  <si>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</si>
  <si>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</si>
  <si>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</si>
  <si>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</si>
  <si>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</si>
  <si>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</si>
  <si>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</si>
  <si>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</si>
  <si>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</si>
  <si>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</si>
  <si>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</si>
  <si>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</si>
  <si>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</si>
  <si>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</si>
  <si>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</si>
  <si>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</si>
  <si>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</si>
  <si>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</si>
  <si>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</si>
  <si>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</si>
  <si>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</si>
  <si>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</si>
  <si>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</si>
  <si>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</si>
  <si>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</si>
  <si>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</si>
  <si>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</si>
  <si>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</si>
  <si>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</si>
  <si>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</si>
  <si>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</si>
  <si>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</si>
  <si>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</si>
  <si>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</si>
  <si>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</si>
  <si>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</si>
  <si>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</si>
  <si>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</si>
  <si>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</si>
  <si>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</si>
  <si>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</si>
  <si>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</si>
  <si>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</si>
  <si>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</si>
  <si>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</si>
  <si>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</si>
  <si>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</si>
  <si>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</si>
  <si>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</si>
  <si>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</si>
  <si>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</si>
  <si>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</si>
  <si>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</si>
  <si>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</si>
  <si>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</si>
  <si>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</si>
  <si>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</si>
  <si>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</si>
  <si>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</si>
  <si>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</si>
  <si>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</si>
  <si>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</si>
  <si>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</si>
  <si>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</si>
  <si>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</si>
  <si>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</si>
  <si>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</si>
  <si>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</si>
  <si>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</si>
  <si>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</si>
  <si>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</si>
  <si>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</si>
  <si>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</si>
  <si>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</si>
  <si>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</si>
  <si>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</si>
  <si>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</si>
  <si>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</si>
  <si>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</si>
  <si>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</si>
  <si>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</si>
  <si>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</si>
  <si>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</si>
  <si>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</si>
  <si>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</si>
  <si>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</si>
  <si>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</si>
  <si>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</si>
  <si>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</si>
  <si>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</si>
  <si>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</si>
  <si>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</si>
  <si>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</si>
  <si>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</si>
  <si>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</si>
  <si>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</si>
  <si>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</si>
  <si>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</si>
  <si>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</si>
  <si>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</si>
  <si>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</si>
  <si>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</si>
  <si>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</si>
  <si>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</si>
  <si>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</si>
  <si>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</si>
  <si>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</si>
  <si>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</si>
  <si>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</si>
  <si>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</si>
  <si>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</si>
  <si>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</si>
  <si>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</si>
  <si>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</si>
  <si>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</si>
  <si>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</si>
  <si>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</si>
  <si>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</si>
  <si>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</si>
  <si>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</si>
  <si>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</si>
  <si>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</si>
  <si>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</si>
  <si>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</si>
  <si>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</si>
  <si>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</si>
  <si>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</si>
  <si>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</si>
  <si>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</si>
  <si>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</si>
  <si>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</si>
  <si>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</si>
  <si>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</si>
  <si>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</si>
  <si>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</si>
  <si>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</si>
  <si>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</si>
  <si>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</si>
  <si>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</si>
  <si>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</si>
  <si>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</si>
  <si>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</si>
  <si>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</si>
  <si>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</si>
  <si>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</si>
  <si>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</si>
  <si>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</si>
  <si>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</si>
  <si>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</si>
  <si>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</si>
  <si>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</si>
  <si>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</si>
  <si>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</si>
  <si>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</si>
  <si>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</si>
  <si>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</si>
  <si>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</si>
  <si>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</si>
  <si>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</si>
  <si>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</si>
  <si>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</si>
  <si>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</si>
  <si>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</si>
  <si>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</si>
  <si>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</si>
  <si>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</si>
  <si>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</si>
  <si>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</si>
  <si>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</si>
  <si>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</si>
  <si>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</si>
  <si>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</si>
  <si>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</si>
  <si>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</si>
  <si>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</si>
  <si>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</si>
  <si>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</si>
  <si>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</si>
  <si>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</si>
  <si>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</si>
  <si>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</si>
  <si>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</si>
  <si>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</si>
  <si>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</si>
  <si>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</si>
  <si>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</si>
  <si>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</si>
  <si>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</si>
  <si>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</si>
  <si>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</si>
  <si>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</si>
  <si>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</si>
  <si>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</si>
  <si>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</si>
  <si>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</si>
  <si>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</si>
  <si>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</si>
  <si>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</si>
  <si>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</si>
  <si>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</si>
  <si>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</si>
  <si>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</si>
  <si>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</si>
  <si>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</si>
  <si>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</si>
  <si>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</si>
  <si>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</si>
  <si>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</si>
  <si>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</si>
  <si>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</si>
  <si>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</si>
  <si>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</si>
  <si>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</si>
  <si>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</si>
  <si>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</si>
  <si>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</si>
  <si>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</si>
  <si>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</si>
  <si>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</si>
  <si>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</si>
  <si>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</si>
  <si>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</si>
  <si>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</si>
  <si>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</si>
  <si>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</si>
  <si>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</si>
  <si>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</si>
  <si>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</si>
  <si>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</si>
  <si>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</si>
  <si>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</si>
  <si>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</si>
  <si>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</si>
  <si>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</si>
  <si>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</si>
  <si>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</si>
  <si>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</si>
  <si>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</si>
  <si>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</si>
  <si>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</si>
  <si>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</si>
  <si>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</si>
  <si>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</si>
  <si>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</si>
  <si>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</si>
  <si>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</si>
  <si>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</si>
  <si>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</si>
  <si>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</si>
  <si>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</si>
  <si>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</si>
  <si>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</si>
  <si>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</si>
  <si>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</si>
  <si>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</si>
  <si>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</si>
  <si>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</si>
  <si>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</si>
  <si>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</si>
  <si>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</si>
  <si>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</si>
  <si>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</si>
  <si>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</si>
  <si>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</si>
  <si>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</si>
  <si>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</si>
  <si>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</si>
  <si>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</si>
  <si>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</si>
  <si>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</si>
  <si>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</si>
  <si>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</si>
  <si>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</si>
  <si>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</si>
  <si>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</si>
  <si>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</si>
  <si>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</si>
  <si>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</si>
  <si>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</si>
  <si>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</si>
  <si>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</si>
  <si>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</si>
  <si>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</si>
  <si>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</si>
  <si>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</si>
  <si>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</si>
  <si>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</si>
  <si>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</si>
  <si>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</si>
  <si>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</si>
  <si>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</si>
  <si>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</si>
  <si>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</si>
  <si>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</si>
  <si>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</si>
  <si>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</si>
  <si>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</si>
  <si>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</si>
  <si>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</si>
  <si>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</si>
  <si>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</si>
  <si>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</si>
  <si>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</si>
  <si>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</si>
  <si>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</si>
  <si>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</si>
  <si>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</si>
  <si>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</si>
  <si>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</si>
  <si>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</si>
  <si>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</si>
  <si>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</si>
  <si>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</si>
  <si>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</si>
  <si>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</si>
  <si>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</si>
  <si>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</si>
  <si>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</si>
  <si>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</si>
  <si>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</si>
  <si>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</si>
  <si>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</si>
  <si>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</si>
  <si>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</si>
  <si>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</si>
  <si>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</si>
  <si>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</si>
  <si>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</si>
  <si>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</si>
  <si>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</si>
  <si>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</si>
  <si>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</si>
  <si>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</si>
  <si>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</si>
  <si>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</si>
  <si>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</si>
  <si>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</si>
  <si>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</si>
  <si>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</si>
  <si>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</si>
  <si>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</si>
  <si>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</si>
  <si>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</si>
  <si>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</si>
  <si>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</si>
  <si>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</si>
  <si>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</si>
  <si>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</si>
  <si>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</si>
  <si>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</si>
  <si>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</si>
  <si>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</si>
  <si>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</si>
  <si>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</si>
  <si>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</si>
  <si>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</si>
  <si>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</si>
  <si>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</si>
  <si>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</si>
  <si>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</si>
  <si>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</si>
  <si>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</si>
  <si>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</si>
  <si>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</si>
  <si>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</si>
  <si>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</si>
  <si>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</si>
  <si>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</si>
  <si>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</si>
  <si>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</si>
  <si>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</si>
  <si>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</si>
  <si>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</si>
  <si>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</si>
  <si>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</si>
  <si>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</si>
  <si>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</si>
  <si>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</si>
  <si>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</si>
  <si>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</si>
  <si>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</si>
  <si>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</si>
  <si>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</si>
  <si>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</si>
  <si>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</si>
  <si>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</si>
  <si>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</si>
  <si>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</si>
  <si>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</si>
  <si>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</si>
  <si>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</si>
  <si>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</si>
  <si>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</si>
  <si>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</si>
  <si>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</si>
  <si>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</si>
  <si>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</si>
  <si>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</si>
  <si>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</si>
  <si>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</si>
  <si>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</si>
  <si>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</si>
  <si>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</si>
  <si>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</si>
  <si>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</si>
  <si>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</si>
  <si>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</si>
  <si>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</si>
  <si>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</si>
  <si>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</si>
  <si>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</si>
  <si>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</si>
  <si>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</si>
  <si>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</si>
  <si>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</si>
  <si>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</si>
  <si>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</si>
  <si>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</si>
  <si>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</si>
  <si>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</si>
  <si>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</si>
  <si>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</si>
  <si>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</si>
  <si>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</si>
  <si>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</si>
  <si>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</si>
  <si>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</si>
  <si>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</si>
  <si>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</si>
  <si>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</si>
  <si>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</si>
  <si>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</si>
  <si>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</si>
  <si>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</si>
  <si>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</si>
  <si>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</si>
  <si>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</si>
  <si>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</si>
  <si>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</si>
  <si>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</si>
  <si>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</si>
  <si>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</si>
  <si>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</si>
  <si>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</si>
  <si>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</si>
  <si>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</si>
  <si>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</si>
  <si>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</si>
  <si>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</si>
  <si>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</si>
  <si>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</si>
  <si>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</si>
  <si>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</si>
  <si>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</si>
  <si>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</si>
  <si>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</si>
  <si>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</si>
  <si>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</si>
  <si>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</si>
  <si>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</si>
  <si>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</si>
  <si>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</si>
  <si>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</si>
  <si>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</si>
  <si>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</si>
  <si>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</si>
  <si>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</si>
  <si>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</si>
  <si>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</si>
  <si>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</si>
  <si>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</si>
  <si>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</si>
  <si>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</si>
  <si>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</si>
  <si>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</si>
  <si>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</si>
  <si>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</si>
  <si>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</si>
  <si>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</si>
  <si>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</si>
  <si>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</si>
  <si>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</si>
  <si>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</si>
  <si>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</si>
  <si>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</si>
  <si>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</si>
  <si>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</si>
  <si>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</si>
  <si>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</si>
  <si>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</si>
  <si>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</si>
  <si>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</si>
  <si>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</si>
  <si>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</si>
  <si>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</si>
  <si>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</si>
  <si>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</si>
  <si>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</si>
  <si>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</si>
  <si>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</si>
  <si>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</si>
  <si>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</si>
  <si>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</si>
  <si>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</si>
  <si>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</si>
  <si>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</si>
  <si>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</si>
  <si>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</si>
  <si>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</si>
  <si>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</si>
  <si>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</si>
  <si>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</si>
  <si>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</si>
  <si>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</si>
  <si>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</si>
  <si>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</si>
  <si>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</si>
  <si>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</si>
  <si>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</si>
  <si>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</si>
  <si>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</si>
  <si>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</si>
  <si>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</si>
  <si>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</si>
  <si>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</si>
  <si>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</si>
  <si>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</si>
  <si>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</si>
  <si>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</si>
  <si>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</si>
  <si>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</si>
  <si>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</si>
  <si>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</si>
  <si>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</si>
  <si>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</si>
  <si>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</si>
  <si>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</si>
  <si>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</si>
  <si>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</si>
  <si>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</si>
  <si>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</si>
  <si>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</si>
  <si>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</si>
  <si>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</si>
  <si>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</si>
  <si>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</si>
  <si>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</si>
  <si>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</si>
  <si>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</si>
  <si>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</si>
  <si>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</si>
  <si>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</si>
  <si>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</si>
  <si>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</si>
  <si>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</si>
  <si>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</si>
  <si>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</si>
  <si>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</si>
  <si>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</si>
  <si>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</si>
  <si>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</si>
  <si>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</si>
  <si>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</si>
  <si>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</si>
  <si>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</si>
  <si>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</si>
  <si>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</si>
  <si>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</si>
  <si>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</si>
  <si>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</si>
  <si>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</si>
  <si>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</si>
  <si>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</si>
  <si>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</si>
  <si>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</si>
  <si>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</si>
  <si>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</si>
  <si>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</si>
  <si>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</si>
  <si>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</si>
  <si>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</si>
  <si>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</si>
  <si>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</si>
  <si>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</si>
  <si>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</si>
  <si>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</si>
  <si>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</si>
  <si>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</si>
  <si>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</si>
  <si>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</si>
  <si>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</si>
  <si>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</si>
  <si>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</si>
  <si>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</si>
  <si>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</si>
  <si>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</si>
  <si>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</si>
  <si>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</si>
  <si>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</si>
  <si>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</si>
  <si>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</si>
  <si>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</si>
  <si>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</si>
  <si>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</si>
  <si>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</si>
  <si>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</si>
  <si>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</si>
  <si>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</si>
  <si>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</si>
  <si>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</si>
  <si>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</si>
  <si>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</si>
  <si>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</si>
  <si>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</si>
  <si>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</si>
  <si>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</si>
  <si>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</si>
  <si>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</si>
  <si>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</si>
  <si>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</si>
  <si>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</si>
  <si>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</si>
  <si>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</si>
  <si>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</si>
  <si>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</si>
  <si>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</si>
  <si>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</si>
  <si>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</si>
  <si>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</si>
  <si>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</si>
  <si>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</si>
  <si>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</si>
  <si>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</si>
  <si>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</si>
  <si>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</si>
  <si>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</si>
  <si>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</si>
  <si>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</si>
  <si>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</si>
  <si>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</si>
  <si>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</si>
  <si>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</si>
  <si>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</si>
  <si>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</si>
  <si>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</si>
  <si>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</si>
  <si>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</si>
  <si>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</si>
  <si>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</si>
  <si>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</si>
  <si>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</si>
  <si>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</si>
  <si>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</si>
  <si>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</si>
  <si>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</si>
  <si>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</si>
  <si>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</si>
  <si>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</si>
  <si>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</si>
  <si>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</si>
  <si>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</si>
  <si>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</si>
  <si>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</si>
  <si>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</si>
  <si>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</si>
  <si>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</si>
  <si>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</si>
  <si>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</si>
  <si>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</si>
  <si>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</si>
  <si>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</si>
  <si>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</si>
  <si>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</si>
  <si>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</si>
  <si>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</si>
  <si>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</si>
  <si>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</si>
  <si>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</si>
  <si>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</si>
  <si>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</si>
  <si>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</si>
  <si>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</si>
  <si>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</si>
  <si>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</si>
  <si>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</si>
  <si>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</si>
  <si>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</si>
  <si>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</si>
  <si>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</si>
  <si>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</si>
  <si>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</si>
  <si>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</si>
  <si>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</si>
  <si>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</si>
  <si>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</si>
  <si>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</si>
  <si>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</si>
  <si>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</si>
  <si>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</si>
  <si>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</si>
  <si>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</si>
  <si>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</si>
  <si>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</si>
  <si>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</si>
  <si>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</si>
  <si>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</si>
  <si>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</si>
  <si>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</si>
  <si>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</si>
  <si>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</si>
  <si>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</si>
  <si>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</si>
  <si>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</si>
  <si>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</si>
  <si>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</si>
  <si>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</si>
  <si>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</si>
  <si>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</si>
  <si>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</si>
  <si>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</si>
  <si>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</si>
  <si>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</si>
  <si>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</si>
  <si>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</si>
  <si>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</si>
  <si>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</si>
  <si>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</si>
  <si>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</si>
  <si>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</si>
  <si>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</si>
  <si>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</si>
  <si>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</si>
  <si>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</si>
  <si>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</si>
  <si>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</si>
  <si>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</si>
  <si>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</si>
  <si>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</si>
  <si>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</si>
  <si>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</si>
  <si>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</si>
  <si>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</si>
  <si>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</si>
  <si>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</si>
  <si>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</si>
  <si>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</si>
  <si>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</si>
  <si>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</si>
  <si>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</si>
  <si>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</si>
  <si>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</si>
  <si>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</si>
  <si>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</si>
  <si>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</si>
  <si>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</si>
  <si>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</si>
  <si>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</si>
  <si>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</si>
  <si>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</si>
  <si>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</si>
  <si>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</si>
  <si>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</si>
  <si>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</si>
  <si>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</si>
  <si>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</si>
  <si>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</si>
  <si>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</si>
  <si>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</si>
  <si>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</si>
  <si>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</si>
  <si>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</si>
  <si>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</si>
  <si>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</si>
  <si>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</si>
  <si>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</si>
  <si>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</si>
  <si>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</si>
  <si>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</si>
  <si>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</si>
  <si>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</si>
  <si>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</si>
  <si>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</si>
  <si>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</si>
  <si>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</si>
  <si>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</si>
  <si>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</si>
  <si>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</si>
  <si>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</si>
  <si>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</si>
  <si>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</si>
  <si>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</si>
  <si>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</si>
  <si>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</si>
  <si>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</si>
  <si>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</si>
  <si>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</si>
  <si>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</si>
  <si>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</si>
  <si>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</si>
  <si>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</si>
  <si>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</si>
  <si>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</si>
  <si>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</si>
  <si>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</si>
  <si>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</si>
  <si>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</si>
  <si>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</si>
  <si>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</si>
  <si>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</si>
  <si>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</si>
  <si>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</si>
  <si>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</si>
  <si>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</si>
  <si>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</si>
  <si>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</si>
  <si>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</si>
  <si>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</si>
  <si>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</si>
  <si>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</si>
  <si>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</si>
  <si>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</si>
  <si>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</si>
  <si>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</si>
  <si>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</si>
  <si>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</si>
  <si>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</si>
  <si>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</si>
  <si>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</si>
  <si>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</si>
  <si>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</si>
  <si>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</si>
  <si>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</si>
  <si>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</si>
  <si>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</si>
  <si>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</si>
  <si>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</si>
  <si>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</si>
  <si>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</si>
  <si>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</si>
  <si>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</si>
  <si>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</si>
  <si>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</si>
  <si>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</si>
  <si>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</si>
  <si>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</si>
  <si>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</si>
  <si>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</si>
  <si>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</si>
  <si>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</si>
  <si>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</si>
  <si>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</si>
  <si>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</si>
  <si>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</si>
  <si>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</si>
  <si>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</si>
  <si>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</si>
  <si>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</si>
  <si>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</si>
  <si>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</si>
  <si>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</si>
  <si>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</si>
  <si>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</si>
  <si>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</si>
  <si>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</si>
  <si>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</si>
  <si>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</si>
  <si>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</si>
  <si>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</si>
  <si>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</si>
  <si>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</si>
  <si>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</si>
  <si>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</si>
  <si>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</si>
  <si>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</si>
  <si>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</si>
  <si>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</si>
  <si>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</si>
  <si>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</si>
  <si>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</si>
  <si>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</si>
  <si>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</si>
  <si>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</si>
  <si>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</si>
  <si>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</si>
  <si>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</si>
  <si>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</si>
  <si>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</si>
  <si>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</si>
  <si>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</si>
  <si>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</si>
  <si>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</si>
  <si>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</si>
  <si>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</si>
  <si>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</si>
  <si>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</si>
  <si>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</si>
  <si>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</si>
  <si>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</si>
  <si>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</si>
  <si>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</si>
  <si>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</si>
  <si>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</si>
  <si>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</si>
  <si>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</si>
  <si>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</si>
  <si>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</si>
  <si>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</si>
  <si>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</si>
  <si>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</si>
  <si>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</si>
  <si>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</si>
  <si>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</si>
  <si>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</si>
  <si>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</si>
  <si>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</si>
  <si>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</si>
  <si>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</si>
  <si>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</si>
  <si>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</si>
  <si>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</si>
  <si>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</si>
  <si>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</si>
  <si>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</si>
  <si>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</si>
  <si>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</si>
  <si>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</si>
  <si>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</si>
  <si>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</si>
  <si>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</si>
  <si>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</si>
  <si>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</si>
  <si>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</si>
  <si>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</si>
  <si>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</si>
  <si>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</si>
  <si>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</si>
  <si>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</si>
  <si>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</si>
  <si>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</si>
  <si>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</si>
  <si>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</si>
  <si>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</si>
  <si>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</si>
  <si>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</si>
  <si>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</si>
  <si>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</si>
  <si>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</si>
  <si>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</si>
  <si>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</si>
  <si>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</si>
  <si>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</si>
  <si>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</si>
  <si>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</si>
  <si>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</si>
  <si>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</si>
  <si>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</si>
  <si>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</si>
  <si>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</si>
  <si>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</si>
  <si>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</si>
  <si>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</si>
  <si>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</si>
  <si>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</si>
  <si>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</si>
  <si>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</si>
  <si>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</si>
  <si>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</si>
  <si>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</si>
  <si>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</si>
  <si>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</si>
  <si>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</si>
  <si>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</si>
  <si>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</si>
  <si>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</si>
  <si>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</si>
  <si>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</si>
  <si>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</si>
  <si>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</si>
  <si>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</si>
  <si>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</si>
  <si>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</si>
  <si>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</si>
  <si>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</si>
  <si>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</si>
  <si>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</si>
  <si>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</si>
  <si>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</si>
  <si>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</si>
  <si>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</si>
  <si>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</si>
  <si>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</si>
  <si>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</si>
  <si>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</si>
  <si>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</si>
  <si>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</si>
  <si>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</si>
  <si>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</si>
  <si>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</si>
  <si>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</si>
  <si>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</si>
  <si>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</si>
  <si>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</si>
  <si>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</si>
  <si>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</si>
  <si>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</si>
  <si>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</si>
  <si>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</si>
  <si>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</si>
  <si>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</si>
  <si>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</si>
  <si>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</si>
  <si>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</si>
  <si>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</si>
  <si>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</si>
  <si>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</si>
  <si>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</si>
  <si>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</si>
  <si>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</si>
  <si>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</si>
  <si>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</si>
  <si>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</si>
  <si>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</si>
  <si>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</si>
  <si>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</si>
  <si>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</si>
  <si>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</si>
  <si>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</si>
  <si>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</si>
  <si>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</si>
  <si>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</si>
  <si>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</si>
  <si>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</si>
  <si>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</si>
  <si>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</si>
  <si>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</si>
  <si>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</si>
  <si>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</si>
  <si>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</si>
  <si>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</si>
  <si>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</si>
  <si>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</si>
  <si>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</si>
  <si>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</si>
  <si>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</si>
  <si>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</si>
  <si>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</si>
  <si>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</si>
  <si>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</si>
  <si>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</si>
  <si>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</si>
  <si>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</si>
  <si>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</si>
  <si>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</si>
  <si>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</si>
  <si>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</si>
  <si>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</si>
  <si>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</si>
  <si>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</si>
  <si>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</si>
  <si>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</si>
  <si>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</si>
  <si>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</si>
  <si>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</si>
  <si>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</si>
  <si>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</si>
  <si>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</si>
  <si>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</si>
  <si>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</si>
  <si>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</si>
  <si>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</si>
  <si>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</si>
  <si>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</si>
  <si>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</si>
  <si>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</si>
  <si>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</si>
  <si>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</si>
  <si>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</si>
  <si>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</si>
  <si>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</si>
  <si>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</si>
  <si>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</si>
  <si>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</si>
  <si>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</si>
  <si>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</si>
  <si>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</si>
  <si>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</si>
  <si>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</si>
  <si>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</si>
  <si>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</si>
  <si>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</si>
  <si>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</si>
  <si>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</si>
  <si>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</si>
  <si>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</si>
  <si>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</si>
  <si>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</si>
  <si>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</si>
  <si>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</si>
  <si>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</si>
  <si>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</si>
  <si>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</si>
  <si>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</si>
  <si>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</si>
  <si>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</si>
  <si>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</si>
  <si>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</si>
  <si>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</si>
  <si>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</si>
  <si>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</si>
  <si>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</si>
  <si>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</si>
  <si>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</si>
  <si>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</si>
  <si>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</si>
  <si>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</si>
  <si>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</si>
  <si>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</si>
  <si>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</si>
  <si>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</si>
  <si>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</si>
  <si>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</si>
  <si>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</si>
  <si>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</si>
  <si>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</si>
  <si>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</si>
  <si>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</si>
  <si>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</si>
  <si>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</si>
  <si>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</si>
  <si>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</si>
  <si>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</si>
  <si>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</si>
  <si>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</si>
  <si>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</si>
  <si>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</si>
  <si>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</si>
  <si>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</si>
  <si>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</si>
  <si>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</si>
  <si>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</si>
  <si>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</si>
  <si>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</si>
  <si>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</si>
  <si>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</si>
  <si>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</si>
  <si>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</si>
  <si>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</si>
  <si>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</si>
  <si>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</si>
  <si>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</si>
  <si>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</si>
  <si>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</si>
  <si>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</si>
  <si>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</si>
  <si>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</si>
  <si>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</si>
  <si>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</si>
  <si>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</si>
  <si>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</si>
  <si>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</si>
  <si>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</si>
  <si>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</si>
  <si>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</si>
  <si>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</si>
  <si>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</si>
  <si>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</si>
  <si>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</si>
  <si>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</si>
  <si>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</si>
  <si>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</si>
  <si>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</si>
  <si>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</si>
  <si>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</si>
  <si>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</si>
  <si>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</si>
  <si>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</si>
  <si>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</si>
  <si>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</si>
  <si>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</si>
  <si>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</si>
  <si>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</si>
  <si>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</si>
  <si>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</si>
  <si>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</si>
  <si>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</si>
  <si>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</si>
  <si>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</si>
  <si>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</si>
  <si>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</si>
  <si>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</si>
  <si>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</si>
  <si>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</si>
  <si>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</si>
  <si>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</si>
  <si>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</si>
  <si>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</si>
  <si>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</si>
  <si>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</si>
  <si>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</si>
  <si>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</si>
  <si>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</si>
  <si>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</si>
  <si>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</si>
  <si>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</si>
  <si>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</si>
  <si>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</si>
  <si>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</si>
  <si>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</si>
  <si>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</si>
  <si>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</si>
  <si>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</si>
  <si>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</si>
  <si>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</si>
  <si>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</si>
  <si>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</si>
  <si>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</si>
  <si>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</si>
  <si>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</si>
  <si>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</si>
  <si>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</si>
  <si>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</si>
  <si>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</si>
  <si>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</si>
  <si>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</si>
  <si>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</si>
  <si>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</si>
  <si>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</si>
  <si>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</si>
  <si>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</si>
  <si>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</si>
  <si>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</si>
  <si>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</si>
  <si>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</si>
  <si>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</si>
  <si>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</si>
  <si>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</si>
  <si>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</si>
  <si>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</si>
  <si>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</si>
  <si>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</si>
  <si>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</si>
  <si>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</si>
  <si>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</si>
  <si>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</si>
  <si>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</si>
  <si>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</si>
  <si>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</si>
  <si>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</si>
  <si>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</si>
  <si>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</si>
  <si>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</si>
  <si>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</si>
  <si>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</si>
  <si>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</si>
  <si>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</si>
  <si>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</si>
  <si>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</si>
  <si>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</si>
  <si>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</si>
  <si>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</si>
  <si>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</si>
  <si>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</si>
  <si>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</si>
  <si>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</si>
  <si>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</si>
  <si>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</si>
  <si>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</si>
  <si>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</si>
  <si>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</si>
  <si>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</si>
  <si>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</si>
  <si>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</si>
  <si>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</si>
  <si>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</si>
  <si>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</si>
  <si>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</si>
  <si>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</si>
  <si>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</si>
  <si>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</si>
  <si>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</si>
  <si>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</si>
  <si>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</si>
  <si>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</si>
  <si>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</si>
  <si>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</si>
  <si>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</si>
  <si>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</si>
  <si>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</si>
  <si>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</si>
  <si>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</si>
  <si>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</si>
  <si>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</si>
  <si>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</si>
  <si>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</si>
  <si>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</si>
  <si>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</si>
  <si>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</si>
  <si>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</si>
  <si>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</si>
  <si>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</si>
  <si>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</si>
  <si>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</si>
  <si>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</si>
  <si>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</si>
  <si>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</si>
  <si>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</si>
  <si>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</si>
  <si>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</si>
  <si>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</si>
  <si>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</si>
  <si>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</si>
  <si>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</si>
  <si>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</si>
  <si>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</si>
  <si>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</si>
  <si>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</si>
  <si>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</si>
  <si>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</si>
  <si>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</si>
  <si>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</si>
  <si>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</si>
  <si>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</si>
  <si>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</si>
  <si>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</si>
  <si>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</si>
  <si>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</si>
  <si>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</si>
  <si>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</si>
  <si>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</si>
  <si>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</si>
  <si>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</si>
  <si>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</si>
  <si>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</si>
  <si>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</si>
  <si>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</si>
  <si>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</si>
  <si>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</si>
  <si>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</si>
  <si>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</si>
  <si>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</si>
  <si>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</si>
  <si>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</si>
  <si>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</si>
  <si>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</si>
  <si>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</si>
  <si>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</si>
  <si>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</si>
  <si>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</si>
  <si>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</si>
  <si>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</si>
  <si>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</si>
  <si>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</si>
  <si>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</si>
  <si>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</si>
  <si>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</si>
  <si>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</si>
  <si>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</si>
  <si>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</si>
  <si>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</si>
  <si>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</si>
  <si>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</si>
  <si>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</si>
  <si>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</si>
  <si>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</si>
  <si>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</si>
  <si>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</si>
  <si>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</si>
  <si>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</si>
  <si>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</si>
  <si>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</si>
  <si>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</si>
  <si>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</si>
  <si>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</si>
  <si>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</si>
  <si>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</si>
  <si>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</si>
  <si>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</si>
  <si>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</si>
  <si>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</si>
  <si>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</si>
  <si>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</si>
  <si>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</si>
  <si>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</si>
  <si>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</si>
  <si>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</si>
  <si>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</si>
  <si>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</si>
  <si>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</si>
  <si>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</si>
  <si>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</si>
  <si>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</si>
  <si>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</si>
  <si>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</si>
  <si>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</si>
  <si>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</si>
  <si>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</si>
  <si>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</si>
  <si>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</si>
  <si>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</si>
  <si>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</si>
  <si>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</si>
  <si>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</si>
  <si>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</si>
  <si>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</si>
  <si>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</si>
  <si>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</si>
  <si>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</si>
  <si>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</si>
  <si>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</si>
  <si>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</si>
  <si>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</si>
  <si>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</si>
  <si>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</si>
  <si>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</si>
  <si>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</si>
  <si>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</si>
  <si>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</si>
  <si>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</si>
  <si>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</si>
  <si>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</si>
  <si>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</si>
  <si>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</si>
  <si>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</si>
  <si>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</si>
  <si>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</si>
  <si>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</si>
  <si>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</si>
  <si>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</si>
  <si>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</si>
  <si>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</si>
  <si>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</si>
  <si>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</si>
  <si>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</si>
  <si>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</si>
  <si>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</si>
  <si>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</si>
  <si>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</si>
  <si>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</si>
  <si>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</si>
  <si>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</si>
  <si>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</si>
  <si>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</si>
  <si>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</si>
  <si>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</si>
  <si>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</si>
  <si>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</si>
  <si>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</si>
  <si>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</si>
  <si>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</si>
  <si>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</si>
  <si>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</si>
  <si>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</si>
  <si>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</si>
  <si>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</si>
  <si>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</si>
  <si>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</si>
  <si>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</si>
  <si>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</si>
  <si>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</si>
  <si>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</si>
  <si>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</si>
  <si>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</si>
  <si>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</si>
  <si>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</si>
  <si>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</si>
  <si>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</si>
  <si>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</si>
  <si>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</si>
  <si>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</si>
  <si>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</si>
  <si>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</si>
  <si>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</si>
  <si>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</si>
  <si>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</si>
  <si>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</si>
  <si>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</si>
  <si>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</si>
  <si>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</si>
  <si>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</si>
  <si>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</si>
  <si>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</si>
  <si>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</si>
  <si>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</si>
  <si>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</si>
  <si>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</si>
  <si>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</si>
  <si>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</si>
  <si>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</si>
  <si>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</si>
  <si>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</si>
  <si>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</si>
  <si>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</si>
  <si>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</si>
  <si>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</si>
  <si>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</si>
  <si>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</si>
  <si>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</si>
  <si>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</si>
  <si>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</si>
  <si>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</si>
  <si>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</si>
  <si>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</si>
  <si>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</si>
  <si>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</si>
  <si>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</si>
  <si>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</si>
  <si>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</si>
  <si>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</si>
  <si>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</si>
  <si>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</si>
  <si>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</si>
  <si>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</si>
  <si>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</si>
  <si>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</si>
  <si>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</si>
  <si>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</si>
  <si>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</si>
  <si>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</si>
  <si>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</si>
  <si>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</si>
  <si>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</si>
  <si>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</si>
  <si>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</si>
  <si>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</si>
  <si>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</si>
  <si>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</si>
  <si>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</si>
  <si>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</si>
  <si>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</si>
  <si>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</si>
  <si>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</si>
  <si>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</si>
  <si>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</si>
  <si>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</si>
  <si>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</si>
  <si>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</si>
  <si>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</si>
  <si>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</si>
  <si>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</si>
  <si>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</si>
  <si>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</si>
  <si>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</si>
  <si>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</si>
  <si>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</si>
  <si>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</si>
  <si>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</si>
  <si>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</si>
  <si>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</si>
  <si>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</si>
  <si>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</si>
  <si>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</si>
  <si>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</si>
  <si>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</si>
  <si>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</si>
  <si>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</si>
  <si>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</si>
  <si>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</si>
  <si>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</si>
  <si>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</si>
  <si>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</si>
  <si>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</si>
  <si>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</si>
  <si>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</si>
  <si>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</si>
  <si>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</si>
  <si>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</si>
  <si>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</si>
  <si>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</si>
  <si>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</si>
  <si>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</si>
  <si>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</si>
  <si>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</si>
  <si>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</si>
  <si>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</si>
  <si>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</si>
  <si>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</si>
  <si>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</si>
  <si>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</si>
  <si>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</si>
  <si>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</si>
  <si>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</si>
  <si>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</si>
  <si>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</si>
  <si>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</si>
  <si>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</si>
  <si>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</si>
  <si>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</si>
  <si>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</si>
  <si>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</si>
  <si>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</si>
  <si>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</si>
  <si>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</si>
  <si>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</si>
  <si>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</si>
  <si>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</si>
  <si>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</si>
  <si>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</si>
  <si>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</si>
  <si>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</si>
  <si>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</si>
  <si>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</si>
  <si>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</si>
  <si>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</si>
  <si>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</si>
  <si>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</si>
  <si>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</si>
  <si>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</si>
  <si>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</si>
  <si>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</si>
  <si>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</si>
  <si>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</si>
  <si>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</si>
  <si>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</si>
  <si>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</si>
  <si>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</si>
  <si>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</si>
  <si>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</si>
  <si>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</si>
  <si>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</si>
  <si>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</si>
  <si>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</si>
  <si>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</si>
  <si>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</si>
  <si>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</si>
  <si>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</si>
  <si>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</si>
  <si>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</si>
  <si>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</si>
  <si>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</si>
  <si>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</si>
  <si>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</si>
  <si>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</si>
  <si>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</si>
  <si>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</si>
  <si>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</si>
  <si>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</si>
  <si>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</si>
  <si>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</si>
  <si>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</si>
  <si>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</si>
  <si>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</si>
  <si>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</si>
  <si>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</si>
  <si>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</si>
  <si>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</si>
  <si>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</si>
  <si>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</si>
  <si>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</si>
  <si>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</si>
  <si>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</si>
  <si>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</si>
  <si>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</si>
  <si>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</si>
  <si>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</si>
  <si>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</si>
  <si>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</si>
  <si>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</si>
  <si>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</si>
  <si>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</si>
  <si>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</si>
  <si>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</si>
  <si>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</si>
  <si>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</si>
  <si>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</si>
  <si>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</si>
  <si>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</si>
  <si>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</si>
  <si>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</si>
  <si>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</si>
  <si>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</si>
  <si>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</si>
  <si>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</si>
  <si>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</si>
  <si>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</si>
  <si>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</si>
  <si>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</si>
  <si>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</si>
  <si>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</si>
  <si>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</si>
  <si>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</si>
  <si>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</si>
  <si>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</si>
  <si>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</si>
  <si>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</si>
  <si>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</si>
  <si>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</si>
  <si>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</si>
  <si>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</si>
  <si>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</si>
  <si>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</si>
  <si>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</si>
  <si>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</si>
  <si>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</si>
  <si>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</si>
  <si>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</si>
  <si>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</si>
  <si>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</si>
  <si>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</si>
  <si>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</si>
  <si>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</si>
  <si>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</si>
  <si>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</si>
  <si>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</si>
  <si>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</si>
  <si>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</si>
  <si>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</si>
  <si>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</si>
  <si>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</si>
  <si>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</si>
  <si>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</si>
  <si>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</si>
  <si>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</si>
  <si>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</si>
  <si>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</si>
  <si>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</si>
  <si>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</si>
  <si>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</si>
  <si>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</si>
  <si>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</si>
  <si>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</si>
  <si>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</si>
  <si>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</si>
  <si>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</si>
  <si>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</si>
  <si>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</si>
  <si>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</si>
  <si>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</si>
  <si>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</si>
  <si>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</si>
  <si>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</si>
  <si>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</si>
  <si>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</si>
  <si>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</si>
  <si>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</si>
  <si>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</si>
  <si>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</si>
  <si>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</si>
  <si>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</si>
  <si>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</si>
  <si>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</si>
  <si>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</si>
  <si>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</si>
  <si>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</si>
  <si>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</si>
  <si>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</si>
  <si>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</si>
  <si>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</si>
  <si>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</si>
  <si>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</si>
  <si>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</si>
  <si>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</si>
  <si>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</si>
  <si>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</si>
  <si>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</si>
  <si>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</si>
  <si>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</si>
  <si>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</si>
  <si>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</si>
  <si>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</si>
  <si>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</si>
  <si>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</si>
  <si>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</si>
  <si>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</si>
  <si>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</si>
  <si>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</si>
  <si>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</si>
  <si>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</si>
  <si>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</si>
  <si>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</si>
  <si>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</si>
  <si>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</si>
  <si>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</si>
  <si>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</si>
  <si>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</si>
  <si>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</si>
  <si>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</si>
  <si>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</si>
  <si>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</si>
  <si>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</si>
  <si>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</si>
  <si>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</si>
  <si>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</si>
  <si>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</si>
  <si>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</si>
  <si>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</si>
  <si>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</si>
  <si>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</si>
  <si>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</si>
  <si>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</si>
  <si>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</si>
  <si>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</si>
  <si>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</si>
  <si>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</si>
  <si>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</si>
  <si>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</si>
  <si>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</si>
  <si>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</si>
  <si>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</si>
  <si>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</si>
  <si>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</si>
  <si>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</si>
  <si>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</si>
  <si>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</si>
  <si>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</si>
  <si>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</si>
  <si>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</si>
  <si>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</si>
  <si>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</si>
  <si>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</si>
  <si>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</si>
  <si>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</si>
  <si>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</si>
  <si>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</si>
  <si>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</si>
  <si>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</si>
  <si>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</si>
  <si>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</si>
  <si>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</si>
  <si>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</si>
  <si>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</si>
  <si>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</si>
  <si>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</si>
  <si>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</si>
  <si>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</si>
  <si>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</si>
  <si>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</si>
  <si>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</si>
  <si>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</si>
  <si>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</si>
  <si>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</si>
  <si>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</si>
  <si>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</si>
  <si>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</si>
  <si>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</si>
  <si>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</si>
  <si>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</si>
  <si>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</si>
  <si>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</si>
  <si>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</si>
  <si>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</si>
  <si>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</si>
  <si>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</si>
  <si>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</si>
  <si>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</si>
  <si>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</si>
  <si>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</si>
  <si>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</si>
  <si>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</si>
  <si>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</si>
  <si>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</si>
  <si>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</si>
  <si>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</si>
  <si>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</si>
  <si>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</si>
  <si>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</si>
  <si>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</si>
  <si>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</si>
  <si>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</si>
  <si>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</si>
  <si>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</si>
  <si>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</si>
  <si>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</si>
  <si>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</si>
  <si>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</si>
  <si>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</si>
  <si>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</si>
  <si>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</si>
  <si>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</si>
  <si>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</si>
  <si>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</si>
  <si>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</si>
  <si>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</si>
  <si>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</si>
  <si>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</si>
  <si>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</si>
  <si>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</si>
  <si>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</si>
  <si>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</si>
  <si>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</si>
  <si>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</si>
  <si>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</si>
  <si>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</si>
  <si>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</si>
  <si>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</si>
  <si>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</si>
  <si>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</si>
  <si>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</si>
  <si>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</si>
  <si>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</si>
  <si>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</si>
  <si>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</si>
  <si>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</si>
  <si>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</si>
  <si>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</si>
  <si>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</si>
  <si>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</si>
  <si>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</si>
  <si>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</si>
  <si>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</si>
  <si>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</si>
  <si>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</si>
  <si>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</si>
  <si>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</si>
  <si>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</si>
  <si>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</si>
  <si>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</si>
  <si>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</si>
  <si>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</si>
  <si>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</si>
  <si>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</si>
  <si>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</si>
  <si>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</si>
  <si>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</si>
  <si>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民生信托</t>
    <phoneticPr fontId="3" type="noConversion"/>
  </si>
  <si>
    <t>北京文华盛达房地产开发有限公司</t>
    <phoneticPr fontId="6" type="noConversion"/>
  </si>
  <si>
    <t>房地产抵押价值</t>
  </si>
  <si>
    <t>抵押</t>
  </si>
  <si>
    <t>北京市</t>
  </si>
  <si>
    <t>企业</t>
  </si>
  <si>
    <t>出让</t>
  </si>
  <si>
    <r>
      <rPr>
        <sz val="12"/>
        <color theme="9" tint="-0.249977111117893"/>
        <rFont val="宋体"/>
        <family val="3"/>
        <charset val="134"/>
      </rPr>
      <t>住宅</t>
    </r>
    <r>
      <rPr>
        <sz val="12"/>
        <color theme="9" tint="-0.249977111117893"/>
        <rFont val="Arial"/>
        <family val="2"/>
      </rPr>
      <t>67.9</t>
    </r>
    <r>
      <rPr>
        <sz val="12"/>
        <color theme="9" tint="-0.249977111117893"/>
        <rFont val="宋体"/>
        <family val="3"/>
        <charset val="134"/>
      </rPr>
      <t>年、地下仓储及地下车库</t>
    </r>
    <r>
      <rPr>
        <sz val="12"/>
        <color theme="9" tint="-0.249977111117893"/>
        <rFont val="Arial"/>
        <family val="2"/>
      </rPr>
      <t>47.9</t>
    </r>
    <r>
      <rPr>
        <sz val="12"/>
        <color theme="9" tint="-0.249977111117893"/>
        <rFont val="宋体"/>
        <family val="3"/>
        <charset val="134"/>
      </rPr>
      <t>年</t>
    </r>
    <phoneticPr fontId="6" type="noConversion"/>
  </si>
  <si>
    <t>住宅、地下仓储、地下车库</t>
    <phoneticPr fontId="6" type="noConversion"/>
  </si>
  <si>
    <t>西区二期商品房</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</si>
  <si>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</si>
  <si>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</si>
  <si>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</si>
  <si>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</si>
  <si>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</si>
  <si>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</si>
  <si>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</si>
  <si>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</si>
  <si>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</si>
  <si>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</si>
  <si>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车库</t>
    <phoneticPr fontId="143" type="noConversion"/>
  </si>
  <si>
    <t>人防</t>
    <phoneticPr fontId="143" type="noConversion"/>
  </si>
  <si>
    <t>3#住宅楼</t>
    <phoneticPr fontId="143" type="noConversion"/>
  </si>
  <si>
    <t>4#住宅楼</t>
  </si>
  <si>
    <t>6#住宅楼</t>
    <phoneticPr fontId="143" type="noConversion"/>
  </si>
  <si>
    <t>7#住宅楼</t>
  </si>
  <si>
    <t>10#住宅楼</t>
    <phoneticPr fontId="143" type="noConversion"/>
  </si>
  <si>
    <t>小计</t>
    <phoneticPr fontId="143" type="noConversion"/>
  </si>
  <si>
    <t>地下车库二期</t>
    <phoneticPr fontId="143" type="noConversion"/>
  </si>
  <si>
    <t>小计</t>
    <phoneticPr fontId="143" type="noConversion"/>
  </si>
  <si>
    <t>合计</t>
    <phoneticPr fontId="143" type="noConversion"/>
  </si>
  <si>
    <t>《工程规划许可证》证号：建字第110114201700015号</t>
    <phoneticPr fontId="143" type="noConversion"/>
  </si>
  <si>
    <t>西区三期商品房</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</si>
  <si>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</si>
  <si>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</si>
  <si>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</si>
  <si>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</si>
  <si>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</si>
  <si>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</si>
  <si>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</si>
  <si>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</si>
  <si>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</si>
  <si>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</si>
  <si>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车库</t>
    <phoneticPr fontId="143" type="noConversion"/>
  </si>
  <si>
    <t>11#住宅楼</t>
    <phoneticPr fontId="143" type="noConversion"/>
  </si>
  <si>
    <t>12#住宅楼</t>
  </si>
  <si>
    <t>13#住宅楼</t>
  </si>
  <si>
    <t>14#住宅楼</t>
  </si>
  <si>
    <t>15#住宅楼</t>
  </si>
  <si>
    <t>16#住宅楼</t>
  </si>
  <si>
    <t>17#住宅楼</t>
  </si>
  <si>
    <t>18#住宅楼</t>
  </si>
  <si>
    <t>19#住宅楼</t>
  </si>
  <si>
    <t>20#住宅楼</t>
  </si>
  <si>
    <t>21#住宅楼</t>
  </si>
  <si>
    <t>小计</t>
    <phoneticPr fontId="143" type="noConversion"/>
  </si>
  <si>
    <t>地下车库三期</t>
    <phoneticPr fontId="143" type="noConversion"/>
  </si>
  <si>
    <t>小计</t>
    <phoneticPr fontId="143" type="noConversion"/>
  </si>
  <si>
    <t>合计</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</si>
  <si>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</si>
  <si>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</si>
  <si>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</si>
  <si>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</si>
  <si>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</si>
  <si>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</si>
  <si>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</si>
  <si>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</si>
  <si>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</si>
  <si>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</si>
  <si>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车库</t>
    <phoneticPr fontId="143" type="noConversion"/>
  </si>
  <si>
    <t>人防</t>
    <phoneticPr fontId="143" type="noConversion"/>
  </si>
  <si>
    <t>5#住宅楼</t>
    <phoneticPr fontId="143" type="noConversion"/>
  </si>
  <si>
    <t>8#住宅楼</t>
    <phoneticPr fontId="143" type="noConversion"/>
  </si>
  <si>
    <t>9#住宅楼</t>
    <phoneticPr fontId="143" type="noConversion"/>
  </si>
  <si>
    <t>小计</t>
    <phoneticPr fontId="143" type="noConversion"/>
  </si>
  <si>
    <t>地下车库一期</t>
    <phoneticPr fontId="143" type="noConversion"/>
  </si>
  <si>
    <t>西区限价房</t>
    <phoneticPr fontId="143" type="noConversion"/>
  </si>
  <si>
    <t>限价商品房</t>
    <phoneticPr fontId="143" type="noConversion"/>
  </si>
  <si>
    <t>储藏间</t>
    <phoneticPr fontId="143" type="noConversion"/>
  </si>
  <si>
    <t>人防工程</t>
    <phoneticPr fontId="143" type="noConversion"/>
  </si>
  <si>
    <t>人防通道</t>
    <phoneticPr fontId="143" type="noConversion"/>
  </si>
  <si>
    <t>1#住宅楼</t>
    <phoneticPr fontId="143" type="noConversion"/>
  </si>
  <si>
    <t>2#住宅楼</t>
  </si>
  <si>
    <t>22#变电所</t>
    <phoneticPr fontId="143" type="noConversion"/>
  </si>
  <si>
    <t>23#公共厕所</t>
    <phoneticPr fontId="143" type="noConversion"/>
  </si>
  <si>
    <t>地下车库</t>
    <phoneticPr fontId="143" type="noConversion"/>
  </si>
  <si>
    <t>2#人防出入口及人防管理用房</t>
    <phoneticPr fontId="143" type="noConversion"/>
  </si>
  <si>
    <t>3#主要人防出入口</t>
    <phoneticPr fontId="143" type="noConversion"/>
  </si>
  <si>
    <t>4#主要人防出入口</t>
  </si>
  <si>
    <t>5#主要人防出入口</t>
  </si>
  <si>
    <t>6#主要人防出入口</t>
  </si>
  <si>
    <t>合计</t>
    <phoneticPr fontId="143" type="noConversion"/>
  </si>
  <si>
    <t>《工程规划许可证》证号：建字第110114201600121号</t>
    <phoneticPr fontId="143" type="noConversion"/>
  </si>
  <si>
    <t>西区劳动力安置房</t>
    <phoneticPr fontId="143" type="noConversion"/>
  </si>
  <si>
    <t>商业</t>
    <phoneticPr fontId="143" type="noConversion"/>
  </si>
  <si>
    <t>商务办公</t>
    <phoneticPr fontId="143" type="noConversion"/>
  </si>
  <si>
    <t>09-1#劳动力安置房</t>
    <phoneticPr fontId="143" type="noConversion"/>
  </si>
  <si>
    <t>西区一期商品房</t>
    <phoneticPr fontId="143" type="noConversion"/>
  </si>
  <si>
    <t>公服配套</t>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</si>
  <si>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0000006</t>
    </r>
    <r>
      <rPr>
        <sz val="12"/>
        <color theme="9" tint="-0.249977111117893"/>
        <rFont val="宋体"/>
        <family val="3"/>
        <charset val="134"/>
      </rPr>
      <t>号</t>
    </r>
    <r>
      <rPr>
        <sz val="12"/>
        <color theme="9" tint="-0.249977111117893"/>
        <rFont val="Arial"/>
        <family val="2"/>
      </rPr>
      <t>]</t>
    </r>
    <phoneticPr fontId="6" type="noConversion"/>
  </si>
  <si>
    <t>《工程规划许可证》证号：建字第110114201600094号</t>
    <phoneticPr fontId="143" type="noConversion"/>
  </si>
  <si>
    <t>《工程规划许可证》证号：建字第110114201700008号</t>
    <phoneticPr fontId="143" type="noConversion"/>
  </si>
  <si>
    <t>《工程规划许可证》证号：建字第110114201600098号</t>
    <phoneticPr fontId="143" type="noConversion"/>
  </si>
  <si>
    <r>
      <rPr>
        <sz val="12"/>
        <color theme="9" tint="-0.249977111117893"/>
        <rFont val="宋体"/>
        <family val="3"/>
        <charset val="134"/>
      </rPr>
      <t>《工程规划许可证》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110114201600094</t>
    </r>
    <r>
      <rPr>
        <sz val="12"/>
        <color theme="9" tint="-0.249977111117893"/>
        <rFont val="宋体"/>
        <family val="3"/>
        <charset val="134"/>
      </rPr>
      <t>、</t>
    </r>
    <r>
      <rPr>
        <sz val="12"/>
        <color theme="9" tint="-0.249977111117893"/>
        <rFont val="Arial"/>
        <family val="2"/>
      </rPr>
      <t>110114201600098</t>
    </r>
    <r>
      <rPr>
        <sz val="12"/>
        <color theme="9" tint="-0.249977111117893"/>
        <rFont val="宋体"/>
        <family val="3"/>
        <charset val="134"/>
      </rPr>
      <t>、</t>
    </r>
    <r>
      <rPr>
        <sz val="12"/>
        <color theme="9" tint="-0.249977111117893"/>
        <rFont val="Arial"/>
        <family val="2"/>
      </rPr>
      <t>110114201700008</t>
    </r>
    <r>
      <rPr>
        <sz val="12"/>
        <color theme="9" tint="-0.249977111117893"/>
        <rFont val="宋体"/>
        <family val="3"/>
        <charset val="134"/>
      </rPr>
      <t>、</t>
    </r>
    <r>
      <rPr>
        <sz val="12"/>
        <color theme="9" tint="-0.249977111117893"/>
        <rFont val="Arial"/>
        <family val="2"/>
      </rPr>
      <t>110114201700015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</si>
  <si>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《不动产权证书》</t>
  </si>
  <si>
    <t>是</t>
  </si>
  <si>
    <t>居住项目</t>
  </si>
  <si>
    <t>含保障性住房</t>
  </si>
  <si>
    <t>在建</t>
  </si>
  <si>
    <r>
      <rPr>
        <sz val="10"/>
        <color indexed="8"/>
        <rFont val="宋体"/>
        <family val="3"/>
        <charset val="134"/>
      </rPr>
      <t>《工程规划许可证》证号：建字第</t>
    </r>
    <r>
      <rPr>
        <sz val="10"/>
        <color indexed="8"/>
        <rFont val="Arial"/>
        <family val="2"/>
      </rPr>
      <t>110114201600094</t>
    </r>
    <r>
      <rPr>
        <sz val="10"/>
        <color indexed="8"/>
        <rFont val="宋体"/>
        <family val="3"/>
        <charset val="134"/>
      </rPr>
      <t>号</t>
    </r>
    <phoneticPr fontId="3" type="noConversion"/>
  </si>
  <si>
    <t>地上</t>
  </si>
  <si>
    <t>住宅</t>
  </si>
  <si>
    <t>叠拼</t>
  </si>
  <si>
    <t>地下</t>
  </si>
  <si>
    <t>仓储</t>
  </si>
  <si>
    <t>仓储</t>
    <phoneticPr fontId="16" type="noConversion"/>
  </si>
  <si>
    <t>车库</t>
  </si>
  <si>
    <r>
      <t>2#-6#</t>
    </r>
    <r>
      <rPr>
        <sz val="10"/>
        <color indexed="8"/>
        <rFont val="宋体"/>
        <family val="3"/>
        <charset val="134"/>
      </rPr>
      <t>人防出入口</t>
    </r>
    <phoneticPr fontId="3" type="noConversion"/>
  </si>
  <si>
    <t>商品房</t>
  </si>
  <si>
    <t>商品房</t>
    <phoneticPr fontId="7" type="noConversion"/>
  </si>
  <si>
    <t>限价房</t>
  </si>
  <si>
    <t>限价房</t>
    <phoneticPr fontId="7" type="noConversion"/>
  </si>
  <si>
    <t>地下仓储</t>
  </si>
  <si>
    <t>地下仓储</t>
    <phoneticPr fontId="7" type="noConversion"/>
  </si>
  <si>
    <t>地下车库</t>
    <phoneticPr fontId="7" type="noConversion"/>
  </si>
  <si>
    <t>收益法（地下仓储）</t>
  </si>
  <si>
    <t>收益法（地下车库）</t>
  </si>
  <si>
    <t>收益法（地下车库）</t>
    <phoneticPr fontId="16" type="noConversion"/>
  </si>
  <si>
    <t>在建（套用方法）</t>
  </si>
  <si>
    <t>钢混</t>
  </si>
  <si>
    <t>非生产用房</t>
  </si>
  <si>
    <t>国瑞熙墅</t>
    <phoneticPr fontId="3" type="noConversion"/>
  </si>
  <si>
    <t>金科天玺</t>
    <phoneticPr fontId="3" type="noConversion"/>
  </si>
  <si>
    <t>龙樾华府</t>
    <phoneticPr fontId="3" type="noConversion"/>
  </si>
  <si>
    <t>北京壹号庄园</t>
    <phoneticPr fontId="3" type="noConversion"/>
  </si>
  <si>
    <t>北京市昌平区北七家镇</t>
    <phoneticPr fontId="3" type="noConversion"/>
  </si>
  <si>
    <t>常兴庄组团北部地区B地块居住项目</t>
    <phoneticPr fontId="3" type="noConversion"/>
  </si>
  <si>
    <t>昌平京藏高速北安河出口向东约5公里</t>
    <phoneticPr fontId="3" type="noConversion"/>
  </si>
  <si>
    <t>北七家镇定泗路88号</t>
    <phoneticPr fontId="3" type="noConversion"/>
  </si>
  <si>
    <t>住宅</t>
    <phoneticPr fontId="25" type="noConversion"/>
  </si>
  <si>
    <t>60-70（含）</t>
  </si>
  <si>
    <t>商品房地上建筑面积</t>
    <phoneticPr fontId="143" type="noConversion"/>
  </si>
  <si>
    <t>地上总建筑面积</t>
    <phoneticPr fontId="143" type="noConversion"/>
  </si>
  <si>
    <t>分摊土地面积</t>
    <phoneticPr fontId="143" type="noConversion"/>
  </si>
  <si>
    <t>周边居住用地比例较大、居住小区规模较大且社区发展完善程度较好，如纳帕溪谷、常兴庄等住宅小区，综合评价居住社区成熟度较好。</t>
    <phoneticPr fontId="3" type="noConversion"/>
  </si>
  <si>
    <t>周边居住用地比例大、居住小区规模大且社区发展完善程度较好，如北京城建畅悦居、平西王府、宏福苑小区等住宅小区，综合评价居住社区成熟度好。</t>
    <phoneticPr fontId="3" type="noConversion"/>
  </si>
  <si>
    <t>周边居住用地比例大、居住小区规模大且社区发展完善程度较好，如八仙别墅、北京晨浩花园、羊各庄新村等住宅小区，综合评价居住社区成熟度好。</t>
    <phoneticPr fontId="3" type="noConversion"/>
  </si>
  <si>
    <t>估价对象周边居住用地比例大、居住小区规模大且社区发展完善程度较好，如北京晨浩花园、海德堡小区、柏林在线等住宅小区，综合评价居住社区成熟度好。</t>
    <phoneticPr fontId="3" type="noConversion"/>
  </si>
  <si>
    <t>多面临街</t>
  </si>
  <si>
    <t>较好</t>
  </si>
  <si>
    <t>好</t>
  </si>
  <si>
    <t>七通</t>
  </si>
  <si>
    <t>一般</t>
  </si>
  <si>
    <t>区域自然环境：特种动物园；人文环境：无展览馆、博物馆等；综合评价环境状况一般。</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</si>
  <si>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</si>
  <si>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 type="noConversion"/>
  </si>
  <si>
    <r>
      <rPr>
        <sz val="11"/>
        <rFont val="宋体"/>
        <family val="3"/>
        <charset val="134"/>
      </rPr>
      <t>周边道路路网较为密集，公共交通通达情况较好，有</t>
    </r>
    <r>
      <rPr>
        <sz val="11"/>
        <rFont val="Arial"/>
        <family val="2"/>
      </rPr>
      <t>984</t>
    </r>
    <r>
      <rPr>
        <sz val="11"/>
        <rFont val="宋体"/>
        <family val="3"/>
        <charset val="134"/>
      </rPr>
      <t>、</t>
    </r>
    <r>
      <rPr>
        <sz val="11"/>
        <rFont val="Arial"/>
        <family val="2"/>
      </rPr>
      <t>945</t>
    </r>
    <r>
      <rPr>
        <sz val="11"/>
        <rFont val="宋体"/>
        <family val="3"/>
        <charset val="134"/>
      </rPr>
      <t>路等、停车便捷程度较好，综合评价交通便捷度较好。</t>
    </r>
    <phoneticPr fontId="3" type="noConversion"/>
  </si>
  <si>
    <r>
      <rPr>
        <sz val="11"/>
        <rFont val="宋体"/>
        <family val="3"/>
        <charset val="134"/>
      </rPr>
      <t>所在区域</t>
    </r>
    <r>
      <rPr>
        <sz val="11"/>
        <rFont val="Arial"/>
        <family val="2"/>
      </rPr>
      <t>2</t>
    </r>
    <r>
      <rPr>
        <sz val="11"/>
        <rFont val="宋体"/>
        <family val="3"/>
        <charset val="134"/>
      </rPr>
      <t>公里范围内有：银行（中国银行），购物（永乐超市、世纪华联超市）、医院（北京九华医院），学校（北京九华旅游职业学校），餐饮等，公共配套设施齐备情况一般。</t>
    </r>
    <phoneticPr fontId="3" type="noConversion"/>
  </si>
  <si>
    <r>
      <rPr>
        <sz val="11"/>
        <rFont val="宋体"/>
        <family val="3"/>
        <charset val="134"/>
      </rPr>
      <t>周边道路路网较为密集，公共交通通达情况较好，有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路等、停车便捷程度较好，综合评价交通便捷度较好。</t>
    </r>
    <phoneticPr fontId="3" type="noConversion"/>
  </si>
  <si>
    <r>
      <rPr>
        <sz val="11"/>
        <rFont val="宋体"/>
        <family val="3"/>
        <charset val="134"/>
      </rPr>
      <t>周边道路路网较为密集，公共交通通达情况较好，有</t>
    </r>
    <r>
      <rPr>
        <sz val="11"/>
        <rFont val="Arial"/>
        <family val="2"/>
      </rPr>
      <t>417</t>
    </r>
    <r>
      <rPr>
        <sz val="11"/>
        <rFont val="宋体"/>
        <family val="3"/>
        <charset val="134"/>
      </rPr>
      <t>、</t>
    </r>
    <r>
      <rPr>
        <sz val="11"/>
        <rFont val="Arial"/>
        <family val="2"/>
      </rPr>
      <t>533</t>
    </r>
    <r>
      <rPr>
        <sz val="11"/>
        <rFont val="宋体"/>
        <family val="3"/>
        <charset val="134"/>
      </rPr>
      <t>路等、停车便捷程度较好，综合评价交通便捷度较好。</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</si>
  <si>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北京农村商业银行），购物（物联隆超市、超市发超市）、医院（北七家社区卫生服务中心），学校（北京市晨星学校、伊顿双语幼儿园），餐饮等，公共配套设施齐备情况较好。</t>
    </r>
    <phoneticPr fontId="3" type="noConversion"/>
  </si>
  <si>
    <r>
      <rPr>
        <sz val="11"/>
        <rFont val="宋体"/>
        <family val="3"/>
        <charset val="134"/>
      </rPr>
      <t>所在区域</t>
    </r>
    <r>
      <rPr>
        <sz val="11"/>
        <rFont val="Arial"/>
        <family val="2"/>
      </rPr>
      <t>2</t>
    </r>
    <r>
      <rPr>
        <sz val="11"/>
        <rFont val="宋体"/>
        <family val="3"/>
        <charset val="134"/>
      </rPr>
      <t>公里范围内有：银行（北京农村商业银行、北京银行），购物（永辉超市、鑫旺超市）、医院（昌平区中西医结合医院），学校（金奥经典幼儿园），餐饮等，公共配套设施齐备情况较好。</t>
    </r>
    <phoneticPr fontId="3" type="noConversion"/>
  </si>
  <si>
    <t>区域自然环境：北京拉菲特城堡公园；人文环境：无展览馆、博物馆等；综合评价环境状况一般。</t>
    <phoneticPr fontId="3" type="noConversion"/>
  </si>
  <si>
    <t>区域自然环境：秀水湖公园；人文环境：中国邮电大学宏福校区、中央戏剧学院宏福校区等；综合评价环境状况较好。</t>
    <phoneticPr fontId="3" type="noConversion"/>
  </si>
  <si>
    <t>独栋</t>
    <phoneticPr fontId="3" type="noConversion"/>
  </si>
  <si>
    <t>类独栋</t>
    <phoneticPr fontId="3" type="noConversion"/>
  </si>
  <si>
    <t>双拼</t>
    <phoneticPr fontId="3" type="noConversion"/>
  </si>
  <si>
    <t>联排</t>
    <phoneticPr fontId="3" type="noConversion"/>
  </si>
  <si>
    <t>叠拼</t>
    <phoneticPr fontId="3" type="noConversion"/>
  </si>
  <si>
    <t>钢混</t>
    <phoneticPr fontId="3" type="noConversion"/>
  </si>
  <si>
    <t>精装修</t>
    <phoneticPr fontId="3" type="noConversion"/>
  </si>
  <si>
    <t>普通装修</t>
    <phoneticPr fontId="3" type="noConversion"/>
  </si>
  <si>
    <t>简单装修</t>
    <phoneticPr fontId="3" type="noConversion"/>
  </si>
  <si>
    <r>
      <rPr>
        <sz val="11"/>
        <rFont val="宋体"/>
        <family val="3"/>
        <charset val="134"/>
      </rPr>
      <t>毛坯</t>
    </r>
    <r>
      <rPr>
        <sz val="11"/>
        <rFont val="Arial"/>
        <family val="2"/>
      </rPr>
      <t xml:space="preserve"> </t>
    </r>
    <phoneticPr fontId="3" type="noConversion"/>
  </si>
  <si>
    <t>是</t>
    <phoneticPr fontId="3" type="noConversion"/>
  </si>
  <si>
    <t>否</t>
    <phoneticPr fontId="3" type="noConversion"/>
  </si>
  <si>
    <t xml:space="preserve">毛坯 </t>
  </si>
  <si>
    <t>精装修</t>
  </si>
  <si>
    <t>专业</t>
  </si>
  <si>
    <t>专业</t>
    <phoneticPr fontId="25" type="noConversion"/>
  </si>
  <si>
    <t>类独栋</t>
  </si>
  <si>
    <t>独栋</t>
  </si>
  <si>
    <t>昌平区南邵镇（昌平新城东区六期（东））0302-70地块</t>
    <phoneticPr fontId="3" type="noConversion"/>
  </si>
  <si>
    <t>昌平区南邵镇（昌平新城东区六期（东））0302-57地块</t>
    <phoneticPr fontId="3" type="noConversion"/>
  </si>
  <si>
    <t>昌平区北七家镇009地块R2二类居住用地</t>
    <phoneticPr fontId="3" type="noConversion"/>
  </si>
  <si>
    <t>昌平区北七家镇</t>
    <phoneticPr fontId="3" type="noConversion"/>
  </si>
  <si>
    <t>昌平区南邵镇</t>
    <phoneticPr fontId="3" type="noConversion"/>
  </si>
  <si>
    <t>国瑞熙墅西区</t>
    <phoneticPr fontId="3" type="noConversion"/>
  </si>
  <si>
    <t>70</t>
    <phoneticPr fontId="31" type="noConversion"/>
  </si>
  <si>
    <t>住宅</t>
    <phoneticPr fontId="31" type="noConversion"/>
  </si>
  <si>
    <t>公租房</t>
    <phoneticPr fontId="3" type="noConversion"/>
  </si>
  <si>
    <t>限价房、公租房</t>
    <phoneticPr fontId="3" type="noConversion"/>
  </si>
  <si>
    <t>无</t>
    <phoneticPr fontId="3" type="noConversion"/>
  </si>
  <si>
    <t>限价房</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</si>
  <si>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</si>
  <si>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</si>
  <si>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</si>
  <si>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</si>
  <si>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</si>
  <si>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规则</t>
    <phoneticPr fontId="3" type="noConversion"/>
  </si>
  <si>
    <t>较规则</t>
    <phoneticPr fontId="3" type="noConversion"/>
  </si>
  <si>
    <t>较不规则</t>
    <phoneticPr fontId="3" type="noConversion"/>
  </si>
  <si>
    <t>不规则</t>
    <phoneticPr fontId="3" type="noConversion"/>
  </si>
  <si>
    <t>较规则</t>
  </si>
  <si>
    <t>较不规则</t>
  </si>
  <si>
    <t>三通一平</t>
  </si>
  <si>
    <t>七通一平</t>
  </si>
  <si>
    <t>五通一平</t>
  </si>
  <si>
    <t>未包含在土地购买价格中</t>
  </si>
  <si>
    <t>已包含在土地取得成本中</t>
  </si>
  <si>
    <t>成本法</t>
  </si>
  <si>
    <t>假设开发法</t>
  </si>
  <si>
    <t>居住用地（指二类居住用地）</t>
  </si>
  <si>
    <t>按公示增长率计算</t>
  </si>
  <si>
    <t>容积率修正</t>
  </si>
  <si>
    <t>较差</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</si>
  <si>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</si>
  <si>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</si>
  <si>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</si>
  <si>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</si>
  <si>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</si>
  <si>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</si>
  <si>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</si>
  <si>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</si>
  <si>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</si>
  <si>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</si>
  <si>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</si>
  <si>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</si>
  <si>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</si>
  <si>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北京市昌平区北七家镇(未来科学城南区)C-16、CP07-0600-0023-2、0024、0025、0041-2、0042、0043地块R2二类居住用地、F3其他类多功能用地</t>
  </si>
  <si>
    <t>综合用地(含住宅)</t>
  </si>
  <si>
    <t>挂牌</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</si>
  <si>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</si>
  <si>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</si>
  <si>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</si>
  <si>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</si>
  <si>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</si>
  <si>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</si>
  <si>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</si>
  <si>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</si>
  <si>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</si>
  <si>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</si>
  <si>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</si>
  <si>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</si>
  <si>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</si>
  <si>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</si>
  <si>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</si>
  <si>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</si>
  <si>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</si>
  <si>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</si>
  <si>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</si>
  <si>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</si>
  <si>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</si>
  <si>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</si>
  <si>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</si>
  <si>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</si>
  <si>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</si>
  <si>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</si>
  <si>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</si>
  <si>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</si>
  <si>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</si>
  <si>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</si>
  <si>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</si>
  <si>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</si>
  <si>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</si>
  <si>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</si>
  <si>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</si>
  <si>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</si>
  <si>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</si>
  <si>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r>
      <rPr>
        <sz val="10"/>
        <rFont val="宋体"/>
        <family val="3"/>
        <charset val="134"/>
      </rPr>
      <t>估价对象：</t>
    </r>
    <phoneticPr fontId="143" type="noConversion"/>
  </si>
  <si>
    <r>
      <rPr>
        <sz val="12"/>
        <color theme="9" tint="-0.249977111117893"/>
        <rFont val="宋体"/>
        <family val="3"/>
        <charset val="134"/>
      </rPr>
      <t>昌平区北七家镇</t>
    </r>
    <r>
      <rPr>
        <sz val="12"/>
        <color theme="9" tint="-0.249977111117893"/>
        <rFont val="Arial"/>
        <family val="2"/>
      </rPr>
      <t>GZT-05-1</t>
    </r>
    <r>
      <rPr>
        <sz val="12"/>
        <color theme="9" tint="-0.249977111117893"/>
        <rFont val="宋体"/>
        <family val="3"/>
        <charset val="134"/>
      </rPr>
      <t>地块</t>
    </r>
    <phoneticPr fontId="6" type="noConversion"/>
  </si>
  <si>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</si>
  <si>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</si>
  <si>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</si>
  <si>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</si>
  <si>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</si>
  <si>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</si>
  <si>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</si>
  <si>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</si>
  <si>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</si>
  <si>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</si>
  <si>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</si>
  <si>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</si>
  <si>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</si>
  <si>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</si>
  <si>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</si>
  <si>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</si>
  <si>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</si>
  <si>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</si>
  <si>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</si>
  <si>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</si>
  <si>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</si>
  <si>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</si>
  <si>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</si>
  <si>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</si>
  <si>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</si>
  <si>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</si>
  <si>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达正负零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</si>
  <si>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</si>
  <si>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</si>
  <si>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</si>
  <si>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</si>
  <si>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</si>
  <si>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</si>
  <si>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</si>
  <si>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</si>
  <si>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</si>
  <si>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</si>
  <si>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</si>
  <si>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</si>
  <si>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</si>
  <si>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工程形象进度</t>
    <phoneticPr fontId="151" type="noConversion"/>
  </si>
  <si>
    <t>描述各部分施工进度状况</t>
    <phoneticPr fontId="151" type="noConversion"/>
  </si>
  <si>
    <t>判断各自工程进度</t>
    <phoneticPr fontId="151" type="noConversion"/>
  </si>
  <si>
    <t>得到综合工程进度</t>
    <phoneticPr fontId="151" type="noConversion"/>
  </si>
  <si>
    <t>商品房形象进度</t>
    <phoneticPr fontId="3" type="noConversion"/>
  </si>
  <si>
    <t>一二期</t>
    <phoneticPr fontId="3" type="noConversion"/>
  </si>
  <si>
    <t>三期</t>
    <phoneticPr fontId="3" type="noConversion"/>
  </si>
  <si>
    <t>否</t>
    <phoneticPr fontId="25" type="noConversion"/>
  </si>
  <si>
    <t>是</t>
    <phoneticPr fontId="25" type="noConversion"/>
  </si>
  <si>
    <t>叠拼车位</t>
  </si>
  <si>
    <t>叠拼车位</t>
    <phoneticPr fontId="7" type="noConversion"/>
  </si>
  <si>
    <t>收益法叠拼车位</t>
  </si>
  <si>
    <t>成本比率</t>
  </si>
  <si>
    <t>设备及其他</t>
    <phoneticPr fontId="3" type="noConversion"/>
  </si>
  <si>
    <t>单价是否含车库</t>
    <phoneticPr fontId="3" type="noConversion"/>
  </si>
  <si>
    <t>估价对象所在区域基础设施水平达到“七通”。</t>
    <phoneticPr fontId="3"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</si>
  <si>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</si>
  <si>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</si>
  <si>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</si>
  <si>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</si>
  <si>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</si>
  <si>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</si>
  <si>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</si>
  <si>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城市支路——沟自头街</t>
    <phoneticPr fontId="3" type="noConversion"/>
  </si>
  <si>
    <r>
      <rPr>
        <sz val="11"/>
        <rFont val="宋体"/>
        <family val="3"/>
        <charset val="134"/>
      </rPr>
      <t>城市支路</t>
    </r>
    <r>
      <rPr>
        <sz val="11"/>
        <rFont val="Arial"/>
        <family val="2"/>
      </rPr>
      <t>——</t>
    </r>
    <r>
      <rPr>
        <sz val="11"/>
        <rFont val="宋体"/>
        <family val="3"/>
        <charset val="134"/>
      </rPr>
      <t>沟自头街</t>
    </r>
    <phoneticPr fontId="31" type="noConversion"/>
  </si>
  <si>
    <t>城市次干道——南丰路</t>
    <phoneticPr fontId="31" type="noConversion"/>
  </si>
  <si>
    <t>周边居住用地比例大、居住小区规模大且社区发展完善程度较好，如中国铁建青秀尚城、兴昌佳苑、尚城汇等住宅小区，综合评价居住社区成熟度好。</t>
    <phoneticPr fontId="31" type="noConversion"/>
  </si>
  <si>
    <t>估价对象多面临街，周边道路路网较为密集，公共交通通达情况较好，有417、533路等、停车便捷程度较好，综合评价交通便捷度较好。</t>
    <phoneticPr fontId="3" type="noConversion"/>
  </si>
  <si>
    <r>
      <rPr>
        <sz val="11"/>
        <rFont val="宋体"/>
        <family val="3"/>
        <charset val="134"/>
      </rPr>
      <t>周边道路路网较为密集，公共交通通达情况较好，有</t>
    </r>
    <r>
      <rPr>
        <sz val="11"/>
        <rFont val="Arial"/>
        <family val="2"/>
      </rPr>
      <t>326</t>
    </r>
    <r>
      <rPr>
        <sz val="11"/>
        <rFont val="宋体"/>
        <family val="3"/>
        <charset val="134"/>
      </rPr>
      <t>、</t>
    </r>
    <r>
      <rPr>
        <sz val="11"/>
        <rFont val="Arial"/>
        <family val="2"/>
      </rPr>
      <t>643</t>
    </r>
    <r>
      <rPr>
        <sz val="11"/>
        <rFont val="宋体"/>
        <family val="3"/>
        <charset val="134"/>
      </rPr>
      <t>路等、停车便捷程度较好，综合评价交通便捷度较好。</t>
    </r>
    <phoneticPr fontId="31" type="noConversion"/>
  </si>
  <si>
    <t>区域内多为住宅用地，对土地利用无不利影响。</t>
    <phoneticPr fontId="3" type="noConversion"/>
  </si>
  <si>
    <t>区域内多为住宅用地，对土地利用无不利影响。</t>
    <phoneticPr fontId="31" type="noConversion"/>
  </si>
  <si>
    <t>区域自然环境：未来科技城滨河公园；人文环境：无展览馆、博物馆等；综合评价环境状况一般。</t>
    <phoneticPr fontId="3" type="noConversion"/>
  </si>
  <si>
    <t>区域自然环境：白浮泉公园；人文环境：无展览馆、博物馆等；综合评价环境状况一般。</t>
    <phoneticPr fontId="31" type="noConversion"/>
  </si>
  <si>
    <t>估价对象所在区域2公里范围内有：银行（中国银行、北京农村商业银行），购物（物联隆超市、超市发超市）、医院（北七家社区卫生服务中心），学校（北京市晨星学校、伊顿双语幼儿园），餐饮等，公共配套设施齐备情况较好。</t>
    <phoneticPr fontId="3" type="noConversion"/>
  </si>
  <si>
    <r>
      <rPr>
        <sz val="11"/>
        <rFont val="宋体"/>
        <family val="3"/>
        <charset val="134"/>
      </rPr>
      <t>所在区域</t>
    </r>
    <r>
      <rPr>
        <sz val="11"/>
        <rFont val="Arial"/>
        <family val="2"/>
      </rPr>
      <t>2</t>
    </r>
    <r>
      <rPr>
        <sz val="11"/>
        <rFont val="宋体"/>
        <family val="3"/>
        <charset val="134"/>
      </rPr>
      <t>公里范围内有：银行（兴业银行、北京农村商业银行），购物（菓岭假日广场、日百商贸中心）、医院（北京泰康燕园康复医院），学校（南邵中心小学），餐饮等，公共配套设施齐备情况较好。</t>
    </r>
    <phoneticPr fontId="31" type="noConversion"/>
  </si>
  <si>
    <t>周边居住用地比例大、居住小区规模大且社区发展完善程度较好，如名流花园、名佳花园等住宅小区，综合评价居住社区成熟度好。</t>
    <phoneticPr fontId="31" type="noConversion"/>
  </si>
  <si>
    <r>
      <rPr>
        <sz val="11"/>
        <rFont val="宋体"/>
        <family val="3"/>
        <charset val="134"/>
      </rPr>
      <t>周边道路路网较为密集，公共交通通达情况较好，有</t>
    </r>
    <r>
      <rPr>
        <sz val="11"/>
        <rFont val="Arial"/>
        <family val="2"/>
      </rPr>
      <t>417</t>
    </r>
    <r>
      <rPr>
        <sz val="11"/>
        <rFont val="宋体"/>
        <family val="3"/>
        <charset val="134"/>
      </rPr>
      <t>、</t>
    </r>
    <r>
      <rPr>
        <sz val="11"/>
        <rFont val="Arial"/>
        <family val="2"/>
      </rPr>
      <t>860</t>
    </r>
    <r>
      <rPr>
        <sz val="11"/>
        <rFont val="宋体"/>
        <family val="3"/>
        <charset val="134"/>
      </rPr>
      <t>路等、停车便捷程度较好，综合评价交通便捷度较好。</t>
    </r>
    <phoneticPr fontId="31" type="noConversion"/>
  </si>
  <si>
    <t>区域自然环境：翡翠公园；人文环境：御生堂中医药博物馆；综合评价环境状况一般。</t>
    <phoneticPr fontId="31" type="noConversion"/>
  </si>
  <si>
    <r>
      <rPr>
        <sz val="11"/>
        <rFont val="宋体"/>
        <family val="3"/>
        <charset val="134"/>
      </rPr>
      <t>所在区域</t>
    </r>
    <r>
      <rPr>
        <sz val="11"/>
        <rFont val="Arial"/>
        <family val="2"/>
      </rPr>
      <t>2</t>
    </r>
    <r>
      <rPr>
        <sz val="11"/>
        <rFont val="宋体"/>
        <family val="3"/>
        <charset val="134"/>
      </rPr>
      <t>公里范围内有：银行（、北京农村商业银行），购物（菓宝迪商业中心、华欣超市）、医院（北七家社区卫生服务中心），学校（名佳双语幼儿园），餐饮等，公共配套设施齐备情况较好。</t>
    </r>
    <phoneticPr fontId="31" type="noConversion"/>
  </si>
  <si>
    <t>不临街</t>
    <phoneticPr fontId="31" type="noConversion"/>
  </si>
  <si>
    <t>单面临街</t>
  </si>
  <si>
    <t>城市支路——现状道路</t>
    <phoneticPr fontId="31" type="noConversion"/>
  </si>
  <si>
    <t>商品房仓储</t>
  </si>
  <si>
    <t>商品房仓储</t>
    <phoneticPr fontId="7" type="noConversion"/>
  </si>
  <si>
    <t>收益法（商品房仓储）</t>
  </si>
  <si>
    <t>北京文华盛达房地产开发有限公司</t>
    <phoneticPr fontId="6" type="noConversion"/>
  </si>
  <si>
    <t>序号</t>
  </si>
  <si>
    <t>《不动产权证书》证号</t>
  </si>
  <si>
    <t>建筑面积</t>
  </si>
  <si>
    <t>依据</t>
  </si>
  <si>
    <t>建设</t>
  </si>
  <si>
    <t>内容</t>
  </si>
  <si>
    <t>分摊出让国有建设用地使用权面积</t>
  </si>
  <si>
    <t>工程进度情况</t>
  </si>
  <si>
    <t>公共配套设施</t>
  </si>
  <si>
    <t>设备及其他</t>
  </si>
  <si>
    <r>
      <t>京（</t>
    </r>
    <r>
      <rPr>
        <sz val="9"/>
        <color rgb="FF000000"/>
        <rFont val="Arial"/>
        <family val="2"/>
      </rPr>
      <t>2017</t>
    </r>
    <r>
      <rPr>
        <sz val="9"/>
        <color rgb="FF000000"/>
        <rFont val="华文细黑"/>
        <family val="3"/>
        <charset val="134"/>
      </rPr>
      <t>）昌不动产权第</t>
    </r>
    <r>
      <rPr>
        <sz val="9"/>
        <color rgb="FF000000"/>
        <rFont val="Arial"/>
        <family val="2"/>
      </rPr>
      <t>0000006</t>
    </r>
    <r>
      <rPr>
        <sz val="9"/>
        <color rgb="FF000000"/>
        <rFont val="华文细黑"/>
        <family val="3"/>
        <charset val="134"/>
      </rPr>
      <t>号</t>
    </r>
  </si>
  <si>
    <r>
      <t>《工程规划许可证》证号：建字第</t>
    </r>
    <r>
      <rPr>
        <sz val="9"/>
        <color rgb="FF000000"/>
        <rFont val="Arial"/>
        <family val="2"/>
      </rPr>
      <t>110114201600094</t>
    </r>
    <r>
      <rPr>
        <sz val="9"/>
        <color rgb="FF000000"/>
        <rFont val="华文细黑"/>
        <family val="3"/>
        <charset val="134"/>
      </rPr>
      <t>、</t>
    </r>
    <r>
      <rPr>
        <sz val="9"/>
        <color rgb="FF000000"/>
        <rFont val="Arial"/>
        <family val="2"/>
      </rPr>
      <t>110114201700008</t>
    </r>
    <r>
      <rPr>
        <sz val="9"/>
        <color rgb="FF000000"/>
        <rFont val="华文细黑"/>
        <family val="3"/>
        <charset val="134"/>
      </rPr>
      <t>、</t>
    </r>
    <r>
      <rPr>
        <sz val="9"/>
        <color rgb="FF000000"/>
        <rFont val="Arial"/>
        <family val="2"/>
      </rPr>
      <t>110114201700015</t>
    </r>
    <r>
      <rPr>
        <sz val="9"/>
        <color rgb="FF000000"/>
        <rFont val="华文细黑"/>
        <family val="3"/>
        <charset val="134"/>
      </rPr>
      <t>号</t>
    </r>
  </si>
  <si>
    <t>西区商品房</t>
  </si>
  <si>
    <r>
      <t>《工程规划许可证》证号：建字第</t>
    </r>
    <r>
      <rPr>
        <sz val="9"/>
        <color rgb="FF000000"/>
        <rFont val="Arial"/>
        <family val="2"/>
      </rPr>
      <t>110114201600098</t>
    </r>
    <r>
      <rPr>
        <sz val="9"/>
        <color rgb="FF000000"/>
        <rFont val="华文细黑"/>
        <family val="3"/>
        <charset val="134"/>
      </rPr>
      <t>号</t>
    </r>
  </si>
  <si>
    <t>西区保障房</t>
  </si>
  <si>
    <r>
      <t>京（</t>
    </r>
    <r>
      <rPr>
        <sz val="9"/>
        <color rgb="FF000000"/>
        <rFont val="Arial"/>
        <family val="2"/>
      </rPr>
      <t>2017</t>
    </r>
    <r>
      <rPr>
        <sz val="9"/>
        <color rgb="FF000000"/>
        <rFont val="华文细黑"/>
        <family val="3"/>
        <charset val="134"/>
      </rPr>
      <t>）昌不动产权第</t>
    </r>
    <r>
      <rPr>
        <sz val="9"/>
        <color rgb="FF000000"/>
        <rFont val="Arial"/>
        <family val="2"/>
      </rPr>
      <t>0000007</t>
    </r>
    <r>
      <rPr>
        <sz val="9"/>
        <color rgb="FF000000"/>
        <rFont val="华文细黑"/>
        <family val="3"/>
        <charset val="134"/>
      </rPr>
      <t>号</t>
    </r>
  </si>
  <si>
    <t>西区商业配套</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</si>
</sst>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2"/>
      <scheme val="minor"/>
    </font>
    <font>
      <sz val="11"/>
      <name val="宋体"/>
      <family val="3"/>
      <charset val="134"/>
      <scheme val="minor"/>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9"/>
      <color rgb="FF000000"/>
      <name val="华文细黑"/>
      <family val="3"/>
      <charset val="134"/>
    </font>
    <font>
      <sz val="9"/>
      <color rgb="FF000000"/>
      <name val="Arial"/>
      <family val="2"/>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6"/>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0" fillId="0" borderId="0" xfId="0" applyAlignment="1">
      <alignment horizontal="left"/>
    </xf>
    <xf numFmtId="0" fontId="0" fillId="0" borderId="0" xfId="0" applyAlignment="1">
      <alignment horizontal="center"/>
    </xf>
    <xf numFmtId="0" fontId="0" fillId="17" borderId="0" xfId="0" applyFill="1" applyAlignment="1">
      <alignment horizontal="left"/>
    </xf>
    <xf numFmtId="0" fontId="0" fillId="17" borderId="0" xfId="0" applyFill="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0" borderId="0" xfId="0" applyFill="1" applyAlignment="1"/>
    <xf numFmtId="0" fontId="0" fillId="0" borderId="5" xfId="0" applyBorder="1" applyAlignment="1">
      <alignment horizontal="center"/>
    </xf>
    <xf numFmtId="0" fontId="0" fillId="0" borderId="1" xfId="0" applyBorder="1" applyAlignment="1"/>
    <xf numFmtId="0" fontId="100" fillId="0" borderId="1" xfId="0" applyFont="1" applyBorder="1" applyAlignment="1">
      <alignment horizontal="center"/>
    </xf>
    <xf numFmtId="0" fontId="100" fillId="0" borderId="5" xfId="0" applyFont="1" applyBorder="1" applyAlignment="1">
      <alignment horizontal="center"/>
    </xf>
    <xf numFmtId="0" fontId="100" fillId="0" borderId="0" xfId="0" applyFont="1" applyFill="1" applyBorder="1" applyAlignment="1">
      <alignment horizontal="center"/>
    </xf>
    <xf numFmtId="0" fontId="0" fillId="0" borderId="0" xfId="0" applyFill="1" applyBorder="1" applyAlignment="1"/>
    <xf numFmtId="0" fontId="254" fillId="17" borderId="0" xfId="0" applyFont="1" applyFill="1" applyAlignment="1">
      <alignment horizontal="left"/>
    </xf>
    <xf numFmtId="0" fontId="255" fillId="17" borderId="0" xfId="0" applyFont="1" applyFill="1" applyAlignment="1">
      <alignment horizontal="center"/>
    </xf>
    <xf numFmtId="0" fontId="0" fillId="0" borderId="0" xfId="0" applyBorder="1" applyAlignment="1"/>
    <xf numFmtId="0" fontId="100" fillId="0" borderId="0" xfId="0" applyFont="1" applyAlignment="1">
      <alignment horizontal="center"/>
    </xf>
    <xf numFmtId="0" fontId="0" fillId="0" borderId="13" xfId="0" applyBorder="1" applyAlignment="1">
      <alignment horizontal="center"/>
    </xf>
    <xf numFmtId="0" fontId="100" fillId="0" borderId="15" xfId="0" applyFont="1" applyBorder="1" applyAlignment="1">
      <alignment horizontal="center"/>
    </xf>
    <xf numFmtId="0" fontId="100" fillId="0" borderId="3"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Fill="1" applyBorder="1" applyAlignment="1">
      <alignment horizontal="center"/>
    </xf>
    <xf numFmtId="0" fontId="100" fillId="0" borderId="0" xfId="0" applyFont="1" applyBorder="1" applyAlignment="1">
      <alignment horizontal="center"/>
    </xf>
    <xf numFmtId="0" fontId="99" fillId="0" borderId="1" xfId="0" applyFont="1" applyFill="1" applyBorder="1" applyAlignment="1">
      <alignment horizontal="center"/>
    </xf>
    <xf numFmtId="0" fontId="99" fillId="0" borderId="1" xfId="0" applyFont="1" applyBorder="1" applyAlignment="1">
      <alignment horizontal="center"/>
    </xf>
    <xf numFmtId="0" fontId="99" fillId="0" borderId="0" xfId="0" applyFont="1" applyAlignment="1">
      <alignment horizontal="left"/>
    </xf>
    <xf numFmtId="49" fontId="50" fillId="0" borderId="1" xfId="0" applyNumberFormat="1"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Alignment="1">
      <alignment horizontal="center"/>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0" fillId="5" borderId="0" xfId="0" applyFill="1">
      <alignment vertical="center"/>
    </xf>
    <xf numFmtId="0" fontId="56" fillId="0" borderId="0" xfId="13" applyFill="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0" fillId="18" borderId="1" xfId="1"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73" fillId="18" borderId="20" xfId="0" applyNumberFormat="1" applyFont="1" applyFill="1" applyBorder="1" applyAlignment="1" applyProtection="1">
      <alignment vertical="center" wrapText="1"/>
      <protection locked="0"/>
    </xf>
    <xf numFmtId="0" fontId="73" fillId="18" borderId="51" xfId="0" applyNumberFormat="1" applyFont="1" applyFill="1" applyBorder="1" applyAlignment="1" applyProtection="1">
      <alignment vertical="center" wrapText="1"/>
      <protection locked="0"/>
    </xf>
    <xf numFmtId="0" fontId="47" fillId="18" borderId="46" xfId="0" applyFont="1" applyFill="1" applyBorder="1" applyAlignment="1" applyProtection="1">
      <alignment horizontal="center" vertical="center" wrapText="1"/>
      <protection locked="0"/>
    </xf>
    <xf numFmtId="0" fontId="137" fillId="18" borderId="41" xfId="0" applyNumberFormat="1" applyFont="1" applyFill="1" applyBorder="1" applyAlignment="1" applyProtection="1">
      <alignment horizontal="center" vertical="center" wrapText="1"/>
      <protection locked="0"/>
    </xf>
    <xf numFmtId="0" fontId="47" fillId="18" borderId="71" xfId="0" applyNumberFormat="1" applyFont="1" applyFill="1" applyBorder="1" applyAlignment="1" applyProtection="1">
      <alignment horizontal="center" vertical="center" wrapText="1"/>
    </xf>
    <xf numFmtId="49" fontId="137" fillId="18" borderId="7" xfId="0" applyNumberFormat="1" applyFont="1" applyFill="1" applyBorder="1" applyAlignment="1" applyProtection="1">
      <alignment horizontal="center" vertical="center" wrapText="1"/>
      <protection locked="0"/>
    </xf>
    <xf numFmtId="0" fontId="47" fillId="18" borderId="24" xfId="0" applyNumberFormat="1" applyFont="1" applyFill="1" applyBorder="1" applyAlignment="1" applyProtection="1">
      <alignment horizontal="center" vertical="center" wrapText="1"/>
    </xf>
    <xf numFmtId="49" fontId="137" fillId="18" borderId="41"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6" borderId="13" xfId="0" applyFont="1" applyFill="1" applyBorder="1">
      <alignment vertical="center"/>
    </xf>
    <xf numFmtId="0" fontId="113" fillId="5" borderId="13" xfId="0" applyFont="1" applyFill="1" applyBorder="1" applyAlignment="1" applyProtection="1">
      <alignment horizontal="center" vertical="center"/>
      <protection locked="0"/>
    </xf>
    <xf numFmtId="0" fontId="113" fillId="6" borderId="1" xfId="0" applyFont="1" applyFill="1" applyBorder="1" applyAlignment="1">
      <alignment horizontal="center" vertical="center"/>
    </xf>
    <xf numFmtId="0" fontId="119" fillId="6" borderId="1" xfId="0" applyFont="1" applyFill="1" applyBorder="1" applyAlignment="1">
      <alignment horizontal="center" vertical="center"/>
    </xf>
    <xf numFmtId="0" fontId="113" fillId="6" borderId="0" xfId="0" applyFont="1" applyFill="1" applyAlignment="1">
      <alignment horizontal="center" vertical="center"/>
    </xf>
    <xf numFmtId="0" fontId="113" fillId="6" borderId="1" xfId="0" applyFont="1" applyFill="1" applyBorder="1">
      <alignment vertical="center"/>
    </xf>
    <xf numFmtId="0" fontId="119" fillId="6" borderId="1" xfId="0" applyFont="1" applyFill="1" applyBorder="1" applyAlignment="1">
      <alignment horizontal="center" vertical="center" wrapText="1"/>
    </xf>
    <xf numFmtId="0" fontId="113" fillId="6" borderId="2" xfId="0" applyFont="1" applyFill="1" applyBorder="1" applyAlignment="1">
      <alignment horizontal="center" vertical="center"/>
    </xf>
    <xf numFmtId="0" fontId="113" fillId="6" borderId="5" xfId="0" applyFont="1" applyFill="1" applyBorder="1" applyAlignment="1">
      <alignment horizontal="center" vertical="center"/>
    </xf>
    <xf numFmtId="0" fontId="113" fillId="6" borderId="6" xfId="0" applyFont="1" applyFill="1" applyBorder="1" applyAlignment="1">
      <alignment horizontal="center" vertical="center"/>
    </xf>
    <xf numFmtId="0" fontId="257" fillId="6" borderId="10" xfId="0" applyFont="1" applyFill="1" applyBorder="1" applyAlignment="1">
      <alignment horizontal="center" vertical="center"/>
    </xf>
    <xf numFmtId="0" fontId="258" fillId="0" borderId="0" xfId="0" applyFont="1">
      <alignment vertical="center"/>
    </xf>
    <xf numFmtId="177" fontId="119" fillId="6" borderId="1" xfId="0" applyNumberFormat="1" applyFont="1" applyFill="1" applyBorder="1" applyAlignment="1" applyProtection="1">
      <alignment horizontal="center" vertical="center"/>
    </xf>
    <xf numFmtId="0" fontId="113" fillId="0" borderId="1" xfId="0" applyFont="1" applyBorder="1" applyAlignment="1">
      <alignment horizontal="center" vertical="center"/>
    </xf>
    <xf numFmtId="0" fontId="113" fillId="0" borderId="5" xfId="0" applyFont="1" applyBorder="1" applyAlignment="1">
      <alignment horizontal="center" vertical="center"/>
    </xf>
    <xf numFmtId="0" fontId="113" fillId="6" borderId="23" xfId="0" applyFont="1" applyFill="1" applyBorder="1" applyAlignment="1">
      <alignment horizontal="center" vertical="center"/>
    </xf>
    <xf numFmtId="0" fontId="257" fillId="6" borderId="24" xfId="0" applyFont="1" applyFill="1" applyBorder="1" applyAlignment="1">
      <alignment horizontal="center" vertical="center"/>
    </xf>
    <xf numFmtId="0" fontId="113" fillId="6" borderId="15" xfId="0" applyFont="1" applyFill="1" applyBorder="1">
      <alignment vertical="center"/>
    </xf>
    <xf numFmtId="177" fontId="119" fillId="6" borderId="15" xfId="0" applyNumberFormat="1" applyFont="1" applyFill="1" applyBorder="1" applyAlignment="1" applyProtection="1">
      <alignment horizontal="center" vertical="center"/>
    </xf>
    <xf numFmtId="0" fontId="113" fillId="6" borderId="13" xfId="0" applyFont="1" applyFill="1" applyBorder="1" applyAlignment="1">
      <alignment horizontal="center" vertical="center"/>
    </xf>
    <xf numFmtId="0" fontId="113" fillId="0" borderId="0" xfId="0" applyFont="1" applyAlignment="1">
      <alignment horizontal="center" vertical="center"/>
    </xf>
    <xf numFmtId="0" fontId="113" fillId="0" borderId="46" xfId="0" applyFont="1" applyBorder="1" applyAlignment="1">
      <alignment horizontal="center" vertical="center"/>
    </xf>
    <xf numFmtId="0" fontId="113" fillId="6" borderId="25" xfId="0" applyFont="1" applyFill="1" applyBorder="1" applyAlignment="1">
      <alignment horizontal="center" vertical="center"/>
    </xf>
    <xf numFmtId="0" fontId="257" fillId="6" borderId="49" xfId="0" applyFont="1" applyFill="1" applyBorder="1" applyAlignment="1">
      <alignment horizontal="center" vertical="center"/>
    </xf>
    <xf numFmtId="0" fontId="113" fillId="6" borderId="6" xfId="0" applyFont="1" applyFill="1" applyBorder="1">
      <alignment vertical="center"/>
    </xf>
    <xf numFmtId="0" fontId="113" fillId="6" borderId="9" xfId="0" applyFont="1" applyFill="1" applyBorder="1">
      <alignment vertical="center"/>
    </xf>
    <xf numFmtId="0" fontId="113" fillId="6" borderId="9" xfId="0" applyFont="1" applyFill="1" applyBorder="1" applyAlignment="1">
      <alignment horizontal="center" vertical="center"/>
    </xf>
    <xf numFmtId="0" fontId="113" fillId="6" borderId="28" xfId="0" applyFont="1" applyFill="1" applyBorder="1" applyAlignment="1">
      <alignment horizontal="center" vertical="center"/>
    </xf>
    <xf numFmtId="0" fontId="113" fillId="6" borderId="10" xfId="0" applyFont="1" applyFill="1" applyBorder="1" applyAlignment="1">
      <alignment horizontal="center" vertical="center"/>
    </xf>
    <xf numFmtId="49" fontId="113" fillId="6" borderId="23" xfId="0" applyNumberFormat="1" applyFont="1" applyFill="1" applyBorder="1" applyAlignment="1">
      <alignment horizontal="center" vertical="center"/>
    </xf>
    <xf numFmtId="0" fontId="113" fillId="6" borderId="2" xfId="0" applyFont="1" applyFill="1" applyBorder="1">
      <alignment vertical="center"/>
    </xf>
    <xf numFmtId="177" fontId="113" fillId="6" borderId="2" xfId="0" applyNumberFormat="1" applyFont="1" applyFill="1" applyBorder="1" applyAlignment="1">
      <alignment horizontal="center" vertical="center"/>
    </xf>
    <xf numFmtId="9" fontId="113" fillId="6" borderId="4" xfId="0" applyNumberFormat="1" applyFont="1" applyFill="1" applyBorder="1" applyAlignment="1">
      <alignment horizontal="center" vertical="center"/>
    </xf>
    <xf numFmtId="181" fontId="113" fillId="6" borderId="13" xfId="0" applyNumberFormat="1" applyFont="1" applyFill="1" applyBorder="1" applyAlignment="1" applyProtection="1">
      <alignment horizontal="center" vertical="center"/>
    </xf>
    <xf numFmtId="0" fontId="113" fillId="6" borderId="8" xfId="0" applyFont="1" applyFill="1" applyBorder="1" applyAlignment="1">
      <alignment horizontal="center" vertical="center"/>
    </xf>
    <xf numFmtId="49" fontId="259" fillId="6" borderId="23" xfId="0" applyNumberFormat="1" applyFont="1" applyFill="1" applyBorder="1" applyAlignment="1">
      <alignment horizontal="right" vertical="center"/>
    </xf>
    <xf numFmtId="0" fontId="259" fillId="6" borderId="1" xfId="0" applyFont="1" applyFill="1" applyBorder="1" applyAlignment="1">
      <alignment horizontal="right" vertical="center"/>
    </xf>
    <xf numFmtId="177" fontId="259" fillId="6" borderId="1" xfId="0" applyNumberFormat="1" applyFont="1" applyFill="1" applyBorder="1" applyAlignment="1">
      <alignment horizontal="center" vertical="center"/>
    </xf>
    <xf numFmtId="181" fontId="259" fillId="0" borderId="1" xfId="0" applyNumberFormat="1" applyFont="1" applyFill="1" applyBorder="1" applyAlignment="1" applyProtection="1">
      <alignment horizontal="center" vertical="center"/>
      <protection locked="0"/>
    </xf>
    <xf numFmtId="0" fontId="259" fillId="6" borderId="1" xfId="0" applyFont="1" applyFill="1" applyBorder="1" applyAlignment="1">
      <alignment horizontal="center" vertical="center"/>
    </xf>
    <xf numFmtId="0" fontId="259" fillId="0" borderId="1" xfId="0" applyFont="1" applyBorder="1">
      <alignment vertical="center"/>
    </xf>
    <xf numFmtId="10" fontId="259" fillId="0" borderId="1" xfId="0" applyNumberFormat="1" applyFont="1" applyBorder="1" applyAlignment="1" applyProtection="1">
      <alignment horizontal="center" vertical="center"/>
      <protection locked="0"/>
    </xf>
    <xf numFmtId="0" fontId="259" fillId="6" borderId="24" xfId="0" applyFont="1" applyFill="1" applyBorder="1" applyAlignment="1">
      <alignment horizontal="left" vertical="center"/>
    </xf>
    <xf numFmtId="0" fontId="259" fillId="0" borderId="0" xfId="0" applyFont="1">
      <alignment vertical="center"/>
    </xf>
    <xf numFmtId="10" fontId="259" fillId="0" borderId="1" xfId="0" applyNumberFormat="1" applyFont="1" applyFill="1" applyBorder="1" applyAlignment="1" applyProtection="1">
      <alignment horizontal="center" vertical="center"/>
    </xf>
    <xf numFmtId="181" fontId="259" fillId="6" borderId="0" xfId="0" applyNumberFormat="1" applyFont="1" applyFill="1">
      <alignment vertical="center"/>
    </xf>
    <xf numFmtId="0" fontId="260" fillId="0" borderId="53" xfId="0" applyFont="1" applyFill="1" applyBorder="1" applyAlignment="1">
      <alignment horizontal="left" vertical="center"/>
    </xf>
    <xf numFmtId="177" fontId="113" fillId="6" borderId="1" xfId="0" applyNumberFormat="1" applyFont="1" applyFill="1" applyBorder="1" applyAlignment="1">
      <alignment horizontal="center" vertical="center"/>
    </xf>
    <xf numFmtId="181" fontId="113" fillId="0" borderId="1" xfId="0" applyNumberFormat="1" applyFont="1" applyFill="1" applyBorder="1" applyAlignment="1" applyProtection="1">
      <alignment horizontal="center" vertical="center"/>
      <protection locked="0"/>
    </xf>
    <xf numFmtId="0" fontId="113" fillId="0" borderId="1" xfId="0" applyFont="1" applyBorder="1">
      <alignment vertical="center"/>
    </xf>
    <xf numFmtId="10" fontId="113" fillId="0" borderId="1" xfId="0" applyNumberFormat="1" applyFont="1" applyBorder="1" applyAlignment="1" applyProtection="1">
      <alignment horizontal="center" vertical="center"/>
      <protection locked="0"/>
    </xf>
    <xf numFmtId="0" fontId="113" fillId="6" borderId="24" xfId="0" applyFont="1" applyFill="1" applyBorder="1" applyAlignment="1">
      <alignment horizontal="left" vertical="center"/>
    </xf>
    <xf numFmtId="0" fontId="113" fillId="0" borderId="13" xfId="0" applyFont="1" applyBorder="1">
      <alignment vertical="center"/>
    </xf>
    <xf numFmtId="10" fontId="119" fillId="0" borderId="1" xfId="0" applyNumberFormat="1" applyFont="1" applyBorder="1" applyAlignment="1" applyProtection="1">
      <alignment horizontal="center" vertical="center"/>
      <protection locked="0"/>
    </xf>
    <xf numFmtId="0" fontId="113" fillId="6" borderId="61" xfId="0" applyFont="1" applyFill="1" applyBorder="1" applyAlignment="1">
      <alignment horizontal="left" vertical="center"/>
    </xf>
    <xf numFmtId="0" fontId="261" fillId="0" borderId="32" xfId="0" applyFont="1" applyBorder="1" applyAlignment="1" applyProtection="1">
      <alignment horizontal="center" vertical="center"/>
      <protection locked="0"/>
    </xf>
    <xf numFmtId="0" fontId="119" fillId="6" borderId="32" xfId="0" applyFont="1" applyFill="1" applyBorder="1" applyAlignment="1">
      <alignment horizontal="center" vertical="center"/>
    </xf>
    <xf numFmtId="9" fontId="119" fillId="6" borderId="32" xfId="0" applyNumberFormat="1" applyFont="1" applyFill="1" applyBorder="1" applyAlignment="1">
      <alignment horizontal="center" vertical="center"/>
    </xf>
    <xf numFmtId="0" fontId="119" fillId="0" borderId="32" xfId="0" applyFont="1" applyBorder="1">
      <alignment vertical="center"/>
    </xf>
    <xf numFmtId="181" fontId="257" fillId="6" borderId="74" xfId="0" applyNumberFormat="1" applyFont="1" applyFill="1" applyBorder="1" applyAlignment="1" applyProtection="1">
      <alignment horizontal="center" vertical="center"/>
    </xf>
    <xf numFmtId="0" fontId="119" fillId="6" borderId="49" xfId="0" applyFont="1" applyFill="1" applyBorder="1" applyAlignment="1">
      <alignment horizontal="left" vertical="center"/>
    </xf>
    <xf numFmtId="0" fontId="119" fillId="0" borderId="0" xfId="0" applyFont="1">
      <alignment vertical="center"/>
    </xf>
    <xf numFmtId="0" fontId="124" fillId="0" borderId="0" xfId="0" applyFont="1">
      <alignment vertical="center"/>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98" fillId="0" borderId="35" xfId="0" applyNumberFormat="1" applyFont="1" applyFill="1" applyBorder="1" applyAlignment="1" applyProtection="1">
      <alignment horizontal="center" vertical="center" wrapText="1"/>
      <protection locked="0"/>
    </xf>
    <xf numFmtId="0" fontId="262" fillId="0" borderId="160" xfId="0" applyFont="1" applyBorder="1" applyAlignment="1">
      <alignment horizontal="center" vertical="center" wrapText="1"/>
    </xf>
    <xf numFmtId="0" fontId="262" fillId="0" borderId="161" xfId="0" applyFont="1" applyBorder="1" applyAlignment="1">
      <alignment horizontal="center" vertical="center" wrapText="1"/>
    </xf>
    <xf numFmtId="0" fontId="0" fillId="0" borderId="162" xfId="0" applyBorder="1" applyAlignment="1">
      <alignment vertical="center" wrapText="1"/>
    </xf>
    <xf numFmtId="0" fontId="262" fillId="0" borderId="162" xfId="0" applyFont="1" applyBorder="1" applyAlignment="1">
      <alignment horizontal="center" vertical="center" wrapText="1"/>
    </xf>
    <xf numFmtId="0" fontId="263" fillId="0" borderId="158" xfId="0" applyFont="1" applyBorder="1" applyAlignment="1">
      <alignment horizontal="center" vertical="center" wrapText="1"/>
    </xf>
    <xf numFmtId="0" fontId="263" fillId="0" borderId="162" xfId="0" applyFont="1" applyBorder="1" applyAlignment="1">
      <alignment horizontal="center" vertical="center" wrapText="1"/>
    </xf>
    <xf numFmtId="0" fontId="0" fillId="0" borderId="0" xfId="0" applyAlignment="1">
      <alignment wrapText="1"/>
    </xf>
    <xf numFmtId="0" fontId="264" fillId="0" borderId="162"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62" fillId="0" borderId="156" xfId="0" applyFont="1" applyBorder="1" applyAlignment="1">
      <alignment horizontal="center" vertical="center" wrapText="1"/>
    </xf>
    <xf numFmtId="0" fontId="262" fillId="0" borderId="158" xfId="0" applyFont="1" applyBorder="1" applyAlignment="1">
      <alignment horizontal="center" vertical="center" wrapText="1"/>
    </xf>
    <xf numFmtId="0" fontId="262" fillId="0" borderId="164" xfId="0" applyFont="1" applyBorder="1" applyAlignment="1">
      <alignment horizontal="center" vertical="center" wrapText="1"/>
    </xf>
    <xf numFmtId="0" fontId="262" fillId="0" borderId="163" xfId="0" applyFont="1" applyBorder="1" applyAlignment="1">
      <alignment horizontal="center" vertical="center" wrapText="1"/>
    </xf>
    <xf numFmtId="0" fontId="262" fillId="0" borderId="159" xfId="0" applyFont="1" applyBorder="1" applyAlignment="1">
      <alignment horizontal="center" vertical="center" wrapText="1"/>
    </xf>
    <xf numFmtId="0" fontId="263" fillId="0" borderId="156" xfId="0" applyFont="1" applyBorder="1" applyAlignment="1">
      <alignment horizontal="center" vertical="center" wrapText="1"/>
    </xf>
    <xf numFmtId="0" fontId="263" fillId="0" borderId="158" xfId="0" applyFont="1" applyBorder="1" applyAlignment="1">
      <alignment horizontal="center" vertical="center" wrapText="1"/>
    </xf>
    <xf numFmtId="0" fontId="262" fillId="0" borderId="157" xfId="0" applyFont="1" applyBorder="1" applyAlignment="1">
      <alignment horizontal="center" vertical="center" wrapText="1"/>
    </xf>
    <xf numFmtId="0" fontId="100" fillId="0" borderId="1" xfId="0" applyFont="1" applyBorder="1" applyAlignment="1">
      <alignment horizont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0" xfId="0" applyAlignment="1">
      <alignment horizontal="center"/>
    </xf>
    <xf numFmtId="0" fontId="100" fillId="0" borderId="5" xfId="0" applyFont="1" applyBorder="1" applyAlignment="1">
      <alignment horizontal="center"/>
    </xf>
    <xf numFmtId="0" fontId="100" fillId="0" borderId="3" xfId="0" applyFont="1" applyBorder="1" applyAlignment="1">
      <alignment horizontal="center"/>
    </xf>
    <xf numFmtId="0" fontId="0" fillId="0" borderId="5" xfId="0" applyBorder="1" applyAlignment="1">
      <alignment horizontal="center"/>
    </xf>
    <xf numFmtId="0" fontId="0" fillId="0" borderId="54" xfId="0" applyBorder="1" applyAlignment="1">
      <alignment horizontal="center"/>
    </xf>
    <xf numFmtId="0" fontId="0" fillId="0" borderId="3" xfId="0" applyBorder="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225" fillId="0" borderId="38" xfId="0" applyFont="1" applyFill="1" applyBorder="1" applyAlignment="1" applyProtection="1">
      <alignment horizontal="center" vertical="top" wrapText="1"/>
      <protection locked="0"/>
    </xf>
    <xf numFmtId="0" fontId="178" fillId="0" borderId="68" xfId="0" applyFont="1" applyFill="1" applyBorder="1" applyAlignment="1" applyProtection="1">
      <alignment horizontal="center" vertical="top"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6" borderId="38" xfId="0" applyFont="1" applyFill="1" applyBorder="1" applyAlignment="1">
      <alignment horizontal="center" vertical="center"/>
    </xf>
    <xf numFmtId="0" fontId="119" fillId="6" borderId="66" xfId="0" applyFont="1" applyFill="1" applyBorder="1" applyAlignment="1">
      <alignment horizontal="center"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161925</xdr:rowOff>
    </xdr:from>
    <xdr:to>
      <xdr:col>6</xdr:col>
      <xdr:colOff>314325</xdr:colOff>
      <xdr:row>46</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5125"/>
          <a:ext cx="6648450"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676276</xdr:colOff>
      <xdr:row>19</xdr:row>
      <xdr:rowOff>47626</xdr:rowOff>
    </xdr:from>
    <xdr:to>
      <xdr:col>17</xdr:col>
      <xdr:colOff>191258</xdr:colOff>
      <xdr:row>45</xdr:row>
      <xdr:rowOff>104776</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1" y="3305176"/>
          <a:ext cx="7058782"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666750</xdr:colOff>
      <xdr:row>45</xdr:row>
      <xdr:rowOff>76200</xdr:rowOff>
    </xdr:from>
    <xdr:to>
      <xdr:col>17</xdr:col>
      <xdr:colOff>238125</xdr:colOff>
      <xdr:row>56</xdr:row>
      <xdr:rowOff>131892</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00875" y="7791450"/>
          <a:ext cx="7115175" cy="194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95250</xdr:rowOff>
    </xdr:from>
    <xdr:to>
      <xdr:col>6</xdr:col>
      <xdr:colOff>438150</xdr:colOff>
      <xdr:row>70</xdr:row>
      <xdr:rowOff>25349</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81950"/>
          <a:ext cx="6772275" cy="4044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57151</xdr:rowOff>
    </xdr:from>
    <xdr:to>
      <xdr:col>6</xdr:col>
      <xdr:colOff>571500</xdr:colOff>
      <xdr:row>93</xdr:row>
      <xdr:rowOff>155952</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058651"/>
          <a:ext cx="6905625" cy="4042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28576</xdr:rowOff>
    </xdr:from>
    <xdr:to>
      <xdr:col>6</xdr:col>
      <xdr:colOff>666750</xdr:colOff>
      <xdr:row>116</xdr:row>
      <xdr:rowOff>95250</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144876"/>
          <a:ext cx="7000875" cy="3838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390525</xdr:colOff>
      <xdr:row>33</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62725" cy="570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5187;&#20943;&#23436;&#24050;&#21806;/&#21830;&#21697;&#25151;&#12289;&#38480;&#20215;&#25151;&#31614;&#32422;&#26126;&#32454;-&#25130;&#33267;20171231-&#22320;&#19978;&#22320;&#19979;&#25286;&#20998;&#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351;&#23548;&#20215;&#8212;&#8212;&#35199;&#21306;&#21150;&#20844;&#65288;&#22312;&#2431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1306;&#21150;&#20844;&#65288;&#22312;&#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房"/>
      <sheetName val="东地块-限价房"/>
      <sheetName val="西地块-限价房"/>
    </sheetNames>
    <sheetDataSet>
      <sheetData sheetId="0">
        <row r="18">
          <cell r="J18">
            <v>780.15</v>
          </cell>
          <cell r="K18">
            <v>775.22</v>
          </cell>
        </row>
        <row r="19">
          <cell r="J19">
            <v>448.37</v>
          </cell>
          <cell r="K19">
            <v>302.11</v>
          </cell>
        </row>
        <row r="20">
          <cell r="J20">
            <v>1375.4099999999999</v>
          </cell>
          <cell r="K20">
            <v>1382.8500000000001</v>
          </cell>
        </row>
      </sheetData>
      <sheetData sheetId="1">
        <row r="1003">
          <cell r="J1003">
            <v>15324.859999999982</v>
          </cell>
        </row>
      </sheetData>
      <sheetData sheetId="2">
        <row r="797">
          <cell r="J797">
            <v>28426.300000000047</v>
          </cell>
        </row>
        <row r="798">
          <cell r="J798">
            <v>32391.150000000031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地价"/>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收益法办公"/>
      <sheetName val="收益法车库"/>
      <sheetName val="土地案例及位置"/>
      <sheetName val="Sheet3"/>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row r="5">
          <cell r="I5">
            <v>3763.72</v>
          </cell>
          <cell r="K5">
            <v>13321.98</v>
          </cell>
          <cell r="M5">
            <v>5091.01</v>
          </cell>
          <cell r="AL5">
            <v>29.3</v>
          </cell>
          <cell r="AN5">
            <v>767.97</v>
          </cell>
        </row>
      </sheetData>
      <sheetData sheetId="12"/>
      <sheetData sheetId="13"/>
      <sheetData sheetId="14"/>
      <sheetData sheetId="15"/>
      <sheetData sheetId="16"/>
      <sheetData sheetId="17">
        <row r="19">
          <cell r="L19">
            <v>6845.8</v>
          </cell>
        </row>
        <row r="118">
          <cell r="B118">
            <v>22973.98</v>
          </cell>
          <cell r="C118">
            <v>6845.8</v>
          </cell>
          <cell r="H118">
            <v>9240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地价"/>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收益法办公"/>
      <sheetName val="收益法车库"/>
      <sheetName val="土地案例及位置"/>
      <sheetName val="Sheet3"/>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31149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北京市昌平区北七家镇GZT-05-1地块出让国有建设用地使用权及在建建筑物房地产抵押价值预评估</v>
      </c>
    </row>
    <row r="3" spans="1:2" s="1593" customFormat="1">
      <c r="A3" s="1591" t="s">
        <v>1221</v>
      </c>
      <c r="B3" s="1592" t="str">
        <f>'预评函-封皮'!B40</f>
        <v>北京文华盛达房地产开发有限公司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受贵公司委托，我公司对北京市昌平区北七家镇GZT-05-1地块出让国有建设用地使用权及在建建筑物房地产抵押价值进行了预评估。</v>
      </c>
    </row>
    <row r="7" spans="1:2" s="1593" customFormat="1">
      <c r="A7" s="1591" t="s">
        <v>1264</v>
      </c>
      <c r="B7" s="1592" t="str">
        <f>'预评函-1'!A7</f>
        <v>估价对象为北京市昌平区北七家镇GZT-05-1地块出让国有建设用地使用权及在建建筑物房地产，为所有。根据《不动产权证书》[京（2017）昌不动产权第0000006号]，估价对象（分摊）出让国有建设用地使用权面积为31136.97平方米。根据《工程规划许可证》[建字第110114201600094、110114201600098、110114201700008、110114201700015号]，估价对象建筑面积为117348.16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昌平区北七家镇GZT-05-1地块出让国有建设用地使用权及在建建筑物房地产,属开发建设的居住项目，该项目尚在开发建设中。根据《不动产权证书》[京（2017）昌不动产权第0000006号]，估价对象（分摊）出让国有建设用地使用权面积为31136.97平方米。根据《工程规划许可证》[建字第110114201600094、110114201600098、110114201700008、110114201700015号]，估价对象规划建筑面积为117348.16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为估价委托人在向民生信托办理贷款手续过程中，确定房地产抵押贷款额度提供参考依据而评估房地产抵押价值。</v>
      </c>
    </row>
    <row r="12" spans="1:2" s="1593" customFormat="1">
      <c r="A12" s="1591" t="s">
        <v>1226</v>
      </c>
      <c r="B12" s="1592" t="str">
        <f>'预评函-1'!A15</f>
        <v>2018年1月11日（评估专业人员实地查勘之日）</v>
      </c>
    </row>
    <row r="13" spans="1:2" s="1593" customFormat="1">
      <c r="A13" s="1591" t="s">
        <v>1227</v>
      </c>
      <c r="B13" s="1592" t="str">
        <f>'预评函-1'!A18</f>
        <v>本次估价的“房地产价值”是指在正常市场情况下，在价值时点2018年1月11日，估价对象规划用途为住宅、地下仓储、地下车库，土地取得方式为出让，出让国有建设用地使用权剩余土地使用年限为住宅67.9年、地下仓储及地下车库47.9年，假定未设立法定优先受偿款下的房地产市场价值。</v>
      </c>
    </row>
    <row r="14" spans="1:2" s="1593" customFormat="1">
      <c r="A14" s="1591" t="s">
        <v>1228</v>
      </c>
      <c r="B14" s="1592" t="str">
        <f>'预评函-1'!A19</f>
        <v>其中，“出让国有建设用地使用权价值”是指估价对象用途为住宅、地下仓储、地下车库，实际开发程度为宗地红线外“七通”（即、、、、、、）、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271791</v>
      </c>
    </row>
    <row r="21" spans="1:2" s="1593" customFormat="1">
      <c r="A21" s="1591" t="s">
        <v>1235</v>
      </c>
      <c r="B21" s="1592">
        <f ca="1">'预评函-2'!D7</f>
        <v>23161</v>
      </c>
    </row>
    <row r="22" spans="1:2" s="1593" customFormat="1">
      <c r="A22" s="1591" t="s">
        <v>1236</v>
      </c>
      <c r="B22" s="1592" t="str">
        <f ca="1">'预评函-2'!D6</f>
        <v>贰拾柒亿壹仟柒佰玖拾壹万元整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271791</v>
      </c>
    </row>
    <row r="31" spans="1:2" s="1593" customFormat="1">
      <c r="A31" s="1591" t="s">
        <v>1274</v>
      </c>
      <c r="B31" s="1592">
        <f ca="1">'预评函-2'!D15</f>
        <v>23161</v>
      </c>
    </row>
    <row r="32" spans="1:2" s="1593" customFormat="1">
      <c r="A32" s="1591" t="s">
        <v>1241</v>
      </c>
      <c r="B32" s="1592" t="str">
        <f ca="1">'预评函-2'!D14</f>
        <v>贰拾柒亿壹仟柒佰玖拾壹万元整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北京市昌平区北七家镇GZT-05-1地块出让国有建设用地使用权及在建建筑物房地产</v>
      </c>
    </row>
    <row r="42" spans="1:2" s="1593" customFormat="1">
      <c r="A42" s="1591" t="s">
        <v>1288</v>
      </c>
      <c r="B42" s="1592" t="str">
        <f>'预评函-3'!B2</f>
        <v>建筑面积</v>
      </c>
    </row>
    <row r="43" spans="1:2" s="1593" customFormat="1">
      <c r="A43" s="1591" t="s">
        <v>1289</v>
      </c>
      <c r="B43" s="1592">
        <f>'预评函-3'!B4</f>
        <v>117348.15999999993</v>
      </c>
    </row>
    <row r="44" spans="1:2" s="1593" customFormat="1">
      <c r="A44" s="1591" t="s">
        <v>1273</v>
      </c>
      <c r="B44" s="1592" t="str">
        <f>'预评函-3'!C2</f>
        <v>(分摊)土地面积</v>
      </c>
    </row>
    <row r="45" spans="1:2" s="1593" customFormat="1">
      <c r="A45" s="1591" t="s">
        <v>1245</v>
      </c>
      <c r="B45" s="1592">
        <f>'预评函-3'!C4</f>
        <v>31136.97</v>
      </c>
    </row>
    <row r="46" spans="1:2" s="1593" customFormat="1">
      <c r="A46" s="1591" t="s">
        <v>1271</v>
      </c>
      <c r="B46" s="1592" t="str">
        <f>'预评函-3'!D2</f>
        <v>出让国有建设用地使用权价值</v>
      </c>
    </row>
    <row r="47" spans="1:2" s="1593" customFormat="1">
      <c r="A47" s="1591" t="s">
        <v>1246</v>
      </c>
      <c r="B47" s="1592">
        <f ca="1">'预评函-3'!D4</f>
        <v>239448</v>
      </c>
    </row>
    <row r="48" spans="1:2" s="1593" customFormat="1">
      <c r="A48" s="1591" t="s">
        <v>1247</v>
      </c>
      <c r="B48" s="1592">
        <f ca="1">'预评函-3'!E4</f>
        <v>20405</v>
      </c>
    </row>
    <row r="49" spans="1:2" s="1593" customFormat="1">
      <c r="A49" s="1591" t="s">
        <v>1248</v>
      </c>
      <c r="B49" s="1592" t="str">
        <f ca="1">'预评函-3'!D5</f>
        <v>贰拾叁亿玖仟肆佰肆拾捌万元整</v>
      </c>
    </row>
    <row r="50" spans="1:2" s="1593" customFormat="1">
      <c r="A50" s="1591" t="s">
        <v>1272</v>
      </c>
      <c r="B50" s="1592" t="str">
        <f>'预评函-3'!F2</f>
        <v>在建建筑物价值</v>
      </c>
    </row>
    <row r="51" spans="1:2" s="1593" customFormat="1">
      <c r="A51" s="1591" t="s">
        <v>1249</v>
      </c>
      <c r="B51" s="1592">
        <f ca="1">'预评函-3'!F4</f>
        <v>32343</v>
      </c>
    </row>
    <row r="52" spans="1:2" s="1593" customFormat="1">
      <c r="A52" s="1591" t="s">
        <v>1250</v>
      </c>
      <c r="B52" s="1592">
        <f ca="1">'预评函-3'!G4</f>
        <v>2756</v>
      </c>
    </row>
    <row r="53" spans="1:2" s="1593" customFormat="1">
      <c r="A53" s="1591" t="s">
        <v>1278</v>
      </c>
      <c r="B53" s="1592" t="str">
        <f ca="1">'预评函-3'!F5</f>
        <v>叁亿贰仟叁佰肆拾叁万元整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（1）根据估价对象《不动产权证书》原件、，截至价值时点，估价对象已设定抵押。上述抵押权设定日期为，权利人为，权利范围为，权利价值为。</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3165</v>
      </c>
      <c r="C17" s="2015"/>
    </row>
    <row r="18" spans="1:3">
      <c r="A18" s="2014" t="s">
        <v>1768</v>
      </c>
      <c r="B18" s="2014" t="s">
        <v>3167</v>
      </c>
      <c r="C18" s="2015"/>
    </row>
    <row r="19" spans="1:3">
      <c r="A19" s="2014" t="s">
        <v>1769</v>
      </c>
      <c r="B19" s="2014" t="s">
        <v>3362</v>
      </c>
      <c r="C19" s="2015"/>
    </row>
    <row r="20" spans="1:3">
      <c r="A20" s="2014" t="s">
        <v>1770</v>
      </c>
      <c r="B20" s="2014" t="s">
        <v>3395</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3155</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文华盛达房地产开发有限公司拟使用北京市昌平区北七家镇GZT-05-1地块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4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XX年(多用途剩余年限尾数不同时，可只体现小数点后一位)，假定未设立法定优先受偿款下的房地产市场价值。</v>
      </c>
    </row>
    <row r="54" spans="1:4">
      <c r="A54" s="3148"/>
      <c r="B54" s="2022" t="s">
        <v>864</v>
      </c>
      <c r="C54" s="2019" t="s">
        <v>1281</v>
      </c>
    </row>
    <row r="55" spans="1:4">
      <c r="A55" s="3148"/>
      <c r="B55" s="2022" t="s">
        <v>865</v>
      </c>
      <c r="C55" s="2019" t="s">
        <v>1282</v>
      </c>
    </row>
    <row r="56" spans="1:4">
      <c r="A56" s="3148"/>
      <c r="B56" s="2022" t="s">
        <v>866</v>
      </c>
      <c r="C56" s="2019" t="s">
        <v>1286</v>
      </c>
    </row>
    <row r="57" spans="1:4">
      <c r="A57" s="314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1777</v>
      </c>
      <c r="B1" s="3149" t="str">
        <f>IF(B10="北京市","北京市",C10)&amp;F10&amp;IF(结果表!G1="在建","出让国有建设用地使用权及在建建筑物",IF(结果表!G1="土地","出让国有建设用地使用权",))&amp;B9&amp;"预评估"</f>
        <v>北京市昌平区北七家镇GZT-05-1地块出让国有建设用地使用权及在建建筑物房地产抵押价值预评估</v>
      </c>
      <c r="C1" s="3150"/>
      <c r="D1" s="3150"/>
      <c r="E1" s="3150"/>
      <c r="F1" s="3150"/>
      <c r="G1" s="3150"/>
      <c r="H1" s="3150"/>
      <c r="I1" s="315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北京市昌平区北七家镇GZT-05-1地块出让国有建设用地使用权及在建建筑物房地产抵押价值</v>
      </c>
    </row>
    <row r="2" spans="1:19" ht="18" customHeight="1">
      <c r="A2" s="2026" t="s">
        <v>1778</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北京市昌平区北七家镇GZT-05-1地块出让国有建设用地使用权及在建建筑物房地产</v>
      </c>
    </row>
    <row r="3" spans="1:19" ht="18" customHeight="1">
      <c r="A3" s="2035" t="s">
        <v>1779</v>
      </c>
      <c r="B3" s="2036">
        <v>43111</v>
      </c>
      <c r="C3" s="2037" t="s">
        <v>1780</v>
      </c>
      <c r="D3" s="2036">
        <v>43111</v>
      </c>
      <c r="E3" s="2026"/>
      <c r="F3" s="2026"/>
      <c r="G3" s="2026"/>
      <c r="H3" s="2026"/>
      <c r="I3" s="2026"/>
      <c r="J3" s="2026"/>
      <c r="K3" s="2027"/>
      <c r="L3" s="2028"/>
      <c r="M3" s="2028"/>
      <c r="N3" s="2029"/>
      <c r="O3" s="2030"/>
      <c r="P3" s="2029"/>
      <c r="Q3" s="2029"/>
      <c r="R3" s="2029"/>
      <c r="S3" s="2031"/>
    </row>
    <row r="4" spans="1:19" ht="18" customHeight="1" thickBot="1">
      <c r="A4" s="2038" t="s">
        <v>1781</v>
      </c>
      <c r="B4" s="2039" t="s">
        <v>3038</v>
      </c>
      <c r="C4" s="1037">
        <f ca="1">SUMIF(注册房地产估价师,B4,估价师及机构信息!B3:B24)</f>
        <v>1120140022</v>
      </c>
      <c r="D4" s="2039" t="s">
        <v>3039</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2947" t="s">
        <v>3396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1783</v>
      </c>
      <c r="B6" s="2946" t="s">
        <v>3040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1784</v>
      </c>
      <c r="B7" s="2947" t="s">
        <v>3041</v>
      </c>
      <c r="C7" s="2048"/>
      <c r="D7" s="2049"/>
      <c r="E7" s="2034"/>
      <c r="F7" s="2042"/>
      <c r="G7" s="2042"/>
      <c r="H7" s="2042"/>
      <c r="I7" s="2042"/>
      <c r="J7" s="2042"/>
      <c r="K7" s="2051"/>
      <c r="L7" s="2028"/>
      <c r="M7" s="2028"/>
      <c r="N7" s="2029"/>
      <c r="O7" s="2030"/>
      <c r="P7" s="2029"/>
      <c r="Q7" s="2029"/>
      <c r="R7" s="2029"/>
    </row>
    <row r="8" spans="1:19" ht="18" customHeight="1">
      <c r="A8" s="2047" t="s">
        <v>1785</v>
      </c>
      <c r="B8" s="2052" t="s">
        <v>3043</v>
      </c>
      <c r="C8" s="2053"/>
      <c r="D8" s="3152" t="s">
        <v>1786</v>
      </c>
      <c r="E8" s="2054" t="s">
        <v>3042</v>
      </c>
      <c r="F8" s="2055"/>
      <c r="G8" s="2026"/>
      <c r="H8" s="2026"/>
      <c r="I8" s="2026"/>
      <c r="J8" s="2042"/>
      <c r="K8" s="2043"/>
      <c r="L8" s="2028"/>
      <c r="M8" s="2028"/>
      <c r="N8" s="2029"/>
      <c r="O8" s="2030"/>
      <c r="P8" s="2029"/>
      <c r="Q8" s="2029"/>
      <c r="R8" s="2029"/>
    </row>
    <row r="9" spans="1:19" ht="18" customHeight="1" thickBot="1">
      <c r="A9" s="2040" t="s">
        <v>1787</v>
      </c>
      <c r="B9" s="2056" t="s">
        <v>3042</v>
      </c>
      <c r="C9" s="2057"/>
      <c r="D9" s="3153"/>
      <c r="E9" s="2056"/>
      <c r="F9" s="2058"/>
      <c r="G9" s="2059"/>
      <c r="H9" s="2059"/>
      <c r="I9" s="2059"/>
      <c r="J9" s="2042"/>
      <c r="K9" s="2051"/>
      <c r="L9" s="2028"/>
      <c r="M9" s="2028"/>
      <c r="N9" s="2029"/>
      <c r="O9" s="2030"/>
      <c r="P9" s="2029"/>
      <c r="Q9" s="2029"/>
      <c r="R9" s="2029"/>
    </row>
    <row r="10" spans="1:19" ht="18" customHeight="1" thickTop="1">
      <c r="A10" s="2060" t="s">
        <v>1788</v>
      </c>
      <c r="B10" s="2061" t="s">
        <v>3044</v>
      </c>
      <c r="C10" s="2062"/>
      <c r="D10" s="2046"/>
      <c r="E10" s="2063" t="s">
        <v>1789</v>
      </c>
      <c r="F10" s="2064" t="s">
        <v>3310</v>
      </c>
      <c r="G10" s="2065"/>
      <c r="H10" s="2066"/>
      <c r="I10" s="2046"/>
      <c r="J10" s="2042"/>
      <c r="K10" s="2051"/>
      <c r="L10" s="2028"/>
      <c r="M10" s="2028"/>
      <c r="N10" s="2029"/>
      <c r="O10" s="2030"/>
      <c r="P10" s="2029"/>
      <c r="Q10" s="2029"/>
      <c r="R10" s="2029"/>
    </row>
    <row r="11" spans="1:19" ht="18" customHeight="1">
      <c r="A11" s="2067" t="s">
        <v>1790</v>
      </c>
      <c r="B11" s="2068" t="s">
        <v>3045</v>
      </c>
      <c r="C11" s="2069"/>
      <c r="D11" s="2070"/>
      <c r="E11" s="2042"/>
      <c r="F11" s="2042"/>
      <c r="G11" s="2042"/>
      <c r="H11" s="2042"/>
      <c r="I11" s="2042"/>
      <c r="J11" s="2042"/>
      <c r="K11" s="2051"/>
      <c r="L11" s="2028"/>
      <c r="M11" s="2028"/>
      <c r="N11" s="2029"/>
      <c r="O11" s="2030"/>
      <c r="P11" s="2029"/>
      <c r="Q11" s="2029"/>
      <c r="R11" s="2029"/>
    </row>
    <row r="12" spans="1:19" ht="18" customHeight="1">
      <c r="A12" s="2071" t="s">
        <v>1791</v>
      </c>
      <c r="B12" s="2068" t="s">
        <v>3046</v>
      </c>
      <c r="C12" s="2072" t="s">
        <v>1792</v>
      </c>
      <c r="D12" s="2073" t="s">
        <v>1793</v>
      </c>
      <c r="E12" s="2073" t="s">
        <v>1794</v>
      </c>
      <c r="F12" s="2073" t="s">
        <v>1795</v>
      </c>
      <c r="G12" s="2073" t="s">
        <v>1796</v>
      </c>
      <c r="H12" s="2073" t="s">
        <v>1797</v>
      </c>
      <c r="I12" s="2073" t="s">
        <v>1798</v>
      </c>
      <c r="J12" s="2042"/>
      <c r="K12" s="2051"/>
      <c r="L12" s="2028"/>
      <c r="M12" s="2028"/>
      <c r="N12" s="2029"/>
      <c r="O12" s="2030"/>
      <c r="P12" s="2029"/>
      <c r="Q12" s="2029"/>
      <c r="R12" s="2029"/>
    </row>
    <row r="13" spans="1:19" ht="18" customHeight="1">
      <c r="A13" s="2074"/>
      <c r="B13" s="2075"/>
      <c r="C13" s="2076" t="s">
        <v>1799</v>
      </c>
      <c r="D13" s="2077">
        <v>67921</v>
      </c>
      <c r="E13" s="2077">
        <v>56963</v>
      </c>
      <c r="F13" s="2077"/>
      <c r="G13" s="2077">
        <v>60616</v>
      </c>
      <c r="H13" s="2077">
        <v>60616</v>
      </c>
      <c r="I13" s="1047"/>
      <c r="J13" s="2042"/>
      <c r="K13" s="2051"/>
      <c r="L13" s="2028"/>
      <c r="M13" s="2028"/>
      <c r="N13" s="2029"/>
      <c r="O13" s="2030"/>
      <c r="P13" s="2029"/>
      <c r="Q13" s="2029"/>
      <c r="R13" s="2029"/>
    </row>
    <row r="14" spans="1:19" ht="18" customHeight="1">
      <c r="A14" s="2074"/>
      <c r="B14" s="2075"/>
      <c r="C14" s="2076" t="s">
        <v>1800</v>
      </c>
      <c r="D14" s="1050">
        <v>70</v>
      </c>
      <c r="E14" s="1050">
        <v>40</v>
      </c>
      <c r="F14" s="1050"/>
      <c r="G14" s="1050">
        <v>50</v>
      </c>
      <c r="H14" s="1050">
        <v>50</v>
      </c>
      <c r="I14" s="1050"/>
      <c r="J14" s="2042"/>
      <c r="K14" s="2078"/>
      <c r="L14" s="2028"/>
      <c r="M14" s="2028"/>
      <c r="N14" s="2029"/>
      <c r="O14" s="2030"/>
      <c r="P14" s="2029"/>
      <c r="Q14" s="2029"/>
      <c r="R14" s="2029"/>
    </row>
    <row r="15" spans="1:19" ht="18" customHeight="1">
      <c r="A15" s="2060"/>
      <c r="B15" s="2079"/>
      <c r="C15" s="2076" t="s">
        <v>1801</v>
      </c>
      <c r="D15" s="1049">
        <f>IF(B12="出让",IF(D13="","",ROUNDDOWN(MIN((D13-$D$3)/365,D14),2)),D14)</f>
        <v>67.97</v>
      </c>
      <c r="E15" s="1049">
        <f>IF(B12="出让",IF(E13="","",ROUNDDOWN(MIN((E13-$D$3)/365,E14),2)),E14)</f>
        <v>37.950000000000003</v>
      </c>
      <c r="F15" s="1049" t="str">
        <f>IF(B12="出让",IF(F13="","",ROUNDDOWN(MIN((F13-$D$3)/365,F14),2)),F14)</f>
        <v/>
      </c>
      <c r="G15" s="1049">
        <f>IF(B12="出让",IF(G13="","",ROUNDDOWN(MIN((G13-$D$3)/365,G14),2)),G14)</f>
        <v>47.95</v>
      </c>
      <c r="H15" s="1049">
        <f>IF(B12="出让",IF(H13="","",ROUNDDOWN(MIN((H13-$D$3)/365,H14),2)),H14)</f>
        <v>47.95</v>
      </c>
      <c r="I15" s="1049" t="str">
        <f>IF(B12="出让",IF(I13="","",ROUNDDOWN(MIN((I13-$D$3)/365,I14),2)),I14)</f>
        <v/>
      </c>
      <c r="J15" s="2042"/>
      <c r="K15" s="2080"/>
      <c r="L15" s="2081"/>
      <c r="M15" s="2081"/>
      <c r="N15" s="2082"/>
      <c r="O15" s="2081"/>
      <c r="P15" s="2082"/>
      <c r="Q15" s="2029"/>
      <c r="R15" s="2029"/>
    </row>
    <row r="16" spans="1:19" ht="30.75" customHeight="1">
      <c r="A16" s="2063" t="s">
        <v>1802</v>
      </c>
      <c r="B16" s="3159" t="s">
        <v>3048</v>
      </c>
      <c r="C16" s="3160"/>
      <c r="D16" s="3161"/>
      <c r="E16" s="2083" t="s">
        <v>1803</v>
      </c>
      <c r="F16" s="3162" t="s">
        <v>3047</v>
      </c>
      <c r="G16" s="3163"/>
      <c r="H16" s="3163"/>
      <c r="I16" s="3164"/>
      <c r="J16" s="2029"/>
      <c r="K16" s="2080"/>
      <c r="L16" s="2081"/>
      <c r="M16" s="2081"/>
      <c r="N16" s="2082"/>
      <c r="O16" s="2081"/>
      <c r="P16" s="2082"/>
      <c r="Q16" s="2029"/>
      <c r="R16" s="2029"/>
    </row>
    <row r="17" spans="1:22" ht="18" customHeight="1">
      <c r="A17" s="2084" t="s">
        <v>1804</v>
      </c>
      <c r="B17" s="2035" t="s">
        <v>1805</v>
      </c>
      <c r="C17" s="1054">
        <f>'数据-汇总表'!E3</f>
        <v>117348.15999999993</v>
      </c>
      <c r="D17" s="2085" t="s">
        <v>1806</v>
      </c>
      <c r="E17" s="3165" t="s">
        <v>3143</v>
      </c>
      <c r="F17" s="3166"/>
      <c r="G17" s="3166"/>
      <c r="H17" s="3166"/>
      <c r="I17" s="3167"/>
      <c r="J17" s="2029"/>
      <c r="K17" s="2086"/>
      <c r="L17" s="2081"/>
      <c r="M17" s="2081"/>
      <c r="N17" s="2082"/>
      <c r="O17" s="2081"/>
      <c r="P17" s="2082"/>
      <c r="Q17" s="2029"/>
      <c r="R17" s="2029"/>
      <c r="S17" s="2029"/>
      <c r="T17" s="2029"/>
      <c r="U17" s="2029"/>
      <c r="V17" s="2029"/>
    </row>
    <row r="18" spans="1:22" ht="36" customHeight="1" thickBot="1">
      <c r="A18" s="2087" t="s">
        <v>70</v>
      </c>
      <c r="B18" s="2038" t="s">
        <v>1807</v>
      </c>
      <c r="C18" s="1444">
        <f>'数据-汇总表'!D3</f>
        <v>31136.97</v>
      </c>
      <c r="D18" s="2088" t="s">
        <v>1806</v>
      </c>
      <c r="E18" s="3168" t="s">
        <v>3139</v>
      </c>
      <c r="F18" s="3169"/>
      <c r="G18" s="3169"/>
      <c r="H18" s="3169"/>
      <c r="I18" s="3170"/>
      <c r="J18" s="2029"/>
      <c r="K18" s="2086"/>
      <c r="L18" s="2081"/>
      <c r="M18" s="2081"/>
      <c r="N18" s="2082"/>
      <c r="O18" s="2081"/>
      <c r="P18" s="2082"/>
      <c r="Q18" s="2029"/>
      <c r="R18" s="2029"/>
      <c r="S18" s="2029"/>
      <c r="T18" s="2029"/>
      <c r="U18" s="2029"/>
      <c r="V18" s="2029"/>
    </row>
    <row r="19" spans="1:22" ht="37.5" customHeight="1" thickTop="1" thickBot="1">
      <c r="A19" s="373" t="s">
        <v>1808</v>
      </c>
      <c r="B19" s="352" t="s">
        <v>1809</v>
      </c>
      <c r="C19" s="2089" t="s">
        <v>3145</v>
      </c>
      <c r="D19" s="2090" t="s">
        <v>1810</v>
      </c>
      <c r="E19" s="2091" t="s">
        <v>3145</v>
      </c>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1811</v>
      </c>
      <c r="B20" s="3155" t="s">
        <v>1812</v>
      </c>
      <c r="C20" s="3156"/>
      <c r="D20" s="3157" t="s">
        <v>1813</v>
      </c>
      <c r="E20" s="3158"/>
      <c r="F20" s="2095" t="s">
        <v>1814</v>
      </c>
      <c r="G20" s="2042"/>
      <c r="H20" s="2042"/>
      <c r="I20" s="2042"/>
      <c r="J20" s="2042"/>
      <c r="K20" s="3154" t="s">
        <v>1815</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2"/>
      <c r="O20" s="2081"/>
      <c r="P20" s="2082"/>
      <c r="Q20" s="2029"/>
      <c r="R20" s="2029"/>
      <c r="S20" s="2029"/>
      <c r="T20" s="2029"/>
      <c r="U20" s="2029"/>
      <c r="V20" s="2029"/>
    </row>
    <row r="21" spans="1:22" ht="24.75" customHeight="1">
      <c r="A21" s="2094"/>
      <c r="B21" s="2096" t="s">
        <v>3144</v>
      </c>
      <c r="C21" s="2097" t="s">
        <v>1816</v>
      </c>
      <c r="D21" s="2098"/>
      <c r="E21" s="2099"/>
      <c r="F21" s="2100"/>
      <c r="G21" s="2042"/>
      <c r="H21" s="2042"/>
      <c r="I21" s="2042"/>
      <c r="J21" s="2042"/>
      <c r="K21" s="31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1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1817</v>
      </c>
      <c r="B23" s="183" t="s">
        <v>1818</v>
      </c>
      <c r="C23" s="2104"/>
      <c r="D23" s="2105" t="s">
        <v>1818</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1819</v>
      </c>
      <c r="C24" s="2109"/>
      <c r="D24" s="2103" t="s">
        <v>1819</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1820</v>
      </c>
      <c r="C25" s="2109"/>
      <c r="D25" s="2103" t="s">
        <v>1820</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1821</v>
      </c>
      <c r="C26" s="2113"/>
      <c r="D26" s="2114" t="s">
        <v>1822</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172" t="s">
        <v>1823</v>
      </c>
      <c r="B27" s="2060" t="s">
        <v>1824</v>
      </c>
      <c r="C27" s="2117" t="s">
        <v>3146</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172"/>
      <c r="B28" s="2035" t="s">
        <v>1825</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172"/>
      <c r="B29" s="2035" t="s">
        <v>1826</v>
      </c>
      <c r="C29" s="2122" t="s">
        <v>3147</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173"/>
      <c r="B30" s="2035" t="s">
        <v>1827</v>
      </c>
      <c r="C30" s="3174"/>
      <c r="D30" s="3175"/>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176" t="s">
        <v>1828</v>
      </c>
      <c r="B31" s="2124" t="s">
        <v>3148</v>
      </c>
      <c r="C31" s="2125" t="str">
        <f>IF(B31="现房","成新及维护状况正常否",IF(B31="在建","工程状态是否正常",IF(B31="土地","是否闲置","-")))</f>
        <v>工程状态是否正常</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177"/>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177"/>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31"/>
      <c r="C34" s="2131"/>
      <c r="D34" s="2131"/>
      <c r="E34" s="2131"/>
      <c r="F34" s="2131"/>
      <c r="G34" s="2131"/>
      <c r="H34" s="2131"/>
      <c r="I34" s="2042"/>
      <c r="J34" s="2042"/>
      <c r="K34" s="1795">
        <f>COUNTIF(B34:H34,"——")</f>
        <v>0</v>
      </c>
      <c r="L34" s="2072" t="s">
        <v>1830</v>
      </c>
      <c r="M34" s="2072" t="s">
        <v>1831</v>
      </c>
      <c r="N34" s="2072" t="s">
        <v>1832</v>
      </c>
      <c r="O34" s="2072" t="s">
        <v>1833</v>
      </c>
      <c r="P34" s="2072" t="s">
        <v>1834</v>
      </c>
      <c r="Q34" s="2072" t="s">
        <v>1835</v>
      </c>
      <c r="R34" s="2072" t="s">
        <v>1836</v>
      </c>
      <c r="S34" s="3171" t="s">
        <v>1837</v>
      </c>
      <c r="T34" s="2132" t="str">
        <f>NUMBERSTRING(7-K34,1)&amp;"通"</f>
        <v>七通</v>
      </c>
      <c r="U34" s="2029"/>
      <c r="V34" s="2029"/>
    </row>
    <row r="35" spans="1:22" ht="18" customHeight="1">
      <c r="A35" s="2133"/>
      <c r="B35" s="3178" t="s">
        <v>1838</v>
      </c>
      <c r="C35" s="3178"/>
      <c r="D35" s="3178"/>
      <c r="E35" s="3178"/>
      <c r="F35" s="2134">
        <f>C10</f>
        <v>0</v>
      </c>
      <c r="G35" s="2042"/>
      <c r="H35" s="2042"/>
      <c r="I35" s="2042"/>
      <c r="J35" s="2042"/>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71"/>
      <c r="T35" s="48" t="str">
        <f>IF(T34="一通",L35,IF(T34="二通",M35,IF(T34="三通",N35,IF(T34="四通",O35,IF(T34="五通",P35,IF(T34="六通",Q35,R35))))))</f>
        <v>、、、、、、</v>
      </c>
      <c r="U35" s="2029"/>
      <c r="V35" s="2029"/>
    </row>
    <row r="36" spans="1:22" ht="18" customHeight="1">
      <c r="A36" s="2135"/>
      <c r="B36" s="2134" t="s">
        <v>1839</v>
      </c>
      <c r="C36" s="2134" t="s">
        <v>1840</v>
      </c>
      <c r="D36" s="2134" t="s">
        <v>1841</v>
      </c>
      <c r="E36" s="2134" t="s">
        <v>1842</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1843</v>
      </c>
      <c r="B37" s="2138" t="s">
        <v>526</v>
      </c>
      <c r="C37" s="2138" t="s">
        <v>526</v>
      </c>
      <c r="D37" s="2138" t="s">
        <v>526</v>
      </c>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1844</v>
      </c>
      <c r="B38" s="2140" t="s">
        <v>439</v>
      </c>
      <c r="C38" s="2140" t="s">
        <v>439</v>
      </c>
      <c r="D38" s="2140" t="s">
        <v>439</v>
      </c>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1846</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A32" activePane="bottomRight" state="frozen"/>
      <selection activeCell="C50" sqref="C50"/>
      <selection pane="topRight" activeCell="C50" sqref="C50"/>
      <selection pane="bottomLeft" activeCell="C50" sqref="C50"/>
      <selection pane="bottomRight" activeCell="O35" sqref="O3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B3/198417.53*52647.78</f>
        <v>35166.875581238186</v>
      </c>
      <c r="B3" s="14">
        <f>IF(C3="否",G5-AT5,G5)</f>
        <v>132535.96999999991</v>
      </c>
      <c r="C3" s="2166" t="s">
        <v>3145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3"/>
      <c r="C5" s="2931"/>
      <c r="D5" s="1806"/>
      <c r="E5" s="16" t="s">
        <v>1</v>
      </c>
      <c r="F5" s="16">
        <f>SUM(F13:F587)</f>
        <v>0</v>
      </c>
      <c r="G5" s="16">
        <f>SUM(G13:G587)</f>
        <v>132535.96999999991</v>
      </c>
      <c r="H5" s="16">
        <f t="shared" ref="H5:AT5" si="0">SUM(H13:H656)</f>
        <v>113718.12999999995</v>
      </c>
      <c r="I5" s="16">
        <f t="shared" si="0"/>
        <v>40115.939999999995</v>
      </c>
      <c r="J5" s="16">
        <f t="shared" si="0"/>
        <v>0</v>
      </c>
      <c r="K5" s="16">
        <f t="shared" si="0"/>
        <v>37199.47</v>
      </c>
      <c r="L5" s="16">
        <f t="shared" si="0"/>
        <v>0</v>
      </c>
      <c r="M5" s="16">
        <f t="shared" si="0"/>
        <v>25201.510000000002</v>
      </c>
      <c r="N5" s="16">
        <f t="shared" si="0"/>
        <v>0</v>
      </c>
      <c r="O5" s="16">
        <f t="shared" si="0"/>
        <v>11201.209999999926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3630.0299999999997</v>
      </c>
      <c r="AD5" s="16">
        <f t="shared" si="0"/>
        <v>416.67999999999995</v>
      </c>
      <c r="AE5" s="16">
        <f t="shared" si="0"/>
        <v>0</v>
      </c>
      <c r="AF5" s="16">
        <f t="shared" si="0"/>
        <v>259.64999999999998</v>
      </c>
      <c r="AG5" s="16">
        <f t="shared" si="0"/>
        <v>0</v>
      </c>
      <c r="AH5" s="16">
        <f t="shared" si="0"/>
        <v>0</v>
      </c>
      <c r="AI5" s="16">
        <f t="shared" si="0"/>
        <v>0</v>
      </c>
      <c r="AJ5" s="16">
        <f t="shared" si="0"/>
        <v>0</v>
      </c>
      <c r="AK5" s="16">
        <f t="shared" si="0"/>
        <v>0</v>
      </c>
      <c r="AL5" s="16">
        <f t="shared" si="0"/>
        <v>388.3</v>
      </c>
      <c r="AM5" s="16">
        <f t="shared" si="0"/>
        <v>0</v>
      </c>
      <c r="AN5" s="16">
        <f t="shared" si="0"/>
        <v>2565.4</v>
      </c>
      <c r="AO5" s="16">
        <f t="shared" si="0"/>
        <v>0</v>
      </c>
      <c r="AP5" s="16">
        <f t="shared" si="0"/>
        <v>0</v>
      </c>
      <c r="AQ5" s="16">
        <f t="shared" si="0"/>
        <v>0</v>
      </c>
      <c r="AR5" s="16">
        <f t="shared" si="0"/>
        <v>0</v>
      </c>
      <c r="AS5" s="16">
        <f t="shared" si="0"/>
        <v>0</v>
      </c>
      <c r="AT5" s="16">
        <f t="shared" si="0"/>
        <v>15187.81</v>
      </c>
      <c r="AU5" s="1802"/>
      <c r="AV5" s="15" t="s">
        <v>1873</v>
      </c>
      <c r="AW5" s="1803"/>
      <c r="AX5" s="1803"/>
      <c r="AY5" s="17" t="s">
        <v>3</v>
      </c>
      <c r="AZ5" s="18">
        <f t="shared" ref="AZ5:BT5" si="1">SUM(AZ13:AZ656)</f>
        <v>117348.15999999993</v>
      </c>
      <c r="BA5" s="18">
        <f t="shared" si="1"/>
        <v>113718.12999999995</v>
      </c>
      <c r="BB5" s="18">
        <f t="shared" si="1"/>
        <v>40115.939999999995</v>
      </c>
      <c r="BC5" s="18">
        <f t="shared" si="1"/>
        <v>37199.47</v>
      </c>
      <c r="BD5" s="18">
        <f t="shared" si="1"/>
        <v>25201.510000000002</v>
      </c>
      <c r="BE5" s="18">
        <f t="shared" si="1"/>
        <v>11201.209999999926</v>
      </c>
      <c r="BF5" s="18">
        <f t="shared" si="1"/>
        <v>0</v>
      </c>
      <c r="BG5" s="18">
        <f t="shared" si="1"/>
        <v>0</v>
      </c>
      <c r="BH5" s="18">
        <f t="shared" si="1"/>
        <v>0</v>
      </c>
      <c r="BI5" s="18">
        <f t="shared" si="1"/>
        <v>0</v>
      </c>
      <c r="BJ5" s="18">
        <f t="shared" si="1"/>
        <v>0</v>
      </c>
      <c r="BK5" s="18">
        <f t="shared" si="1"/>
        <v>0</v>
      </c>
      <c r="BL5" s="18">
        <f t="shared" si="1"/>
        <v>3630.0299999999997</v>
      </c>
      <c r="BM5" s="18">
        <f t="shared" si="1"/>
        <v>416.67999999999995</v>
      </c>
      <c r="BN5" s="18">
        <f t="shared" si="1"/>
        <v>259.64999999999998</v>
      </c>
      <c r="BO5" s="18">
        <f t="shared" si="1"/>
        <v>0</v>
      </c>
      <c r="BP5" s="18">
        <f t="shared" si="1"/>
        <v>0</v>
      </c>
      <c r="BQ5" s="18">
        <f t="shared" si="1"/>
        <v>388.3</v>
      </c>
      <c r="BR5" s="18">
        <f t="shared" si="1"/>
        <v>2565.4</v>
      </c>
      <c r="BS5" s="18">
        <f t="shared" si="1"/>
        <v>0</v>
      </c>
      <c r="BT5" s="19">
        <f t="shared" si="1"/>
        <v>0</v>
      </c>
    </row>
    <row r="6" spans="1:72" s="2175" customFormat="1" ht="12.75">
      <c r="A6" s="15" t="s">
        <v>1874</v>
      </c>
      <c r="B6" s="2172"/>
      <c r="C6" s="2172"/>
      <c r="D6" s="2173"/>
      <c r="E6" s="16">
        <f>H6+AC6+AT6</f>
        <v>35166.89</v>
      </c>
      <c r="F6" s="16" t="s">
        <v>1</v>
      </c>
      <c r="G6" s="16" t="s">
        <v>2</v>
      </c>
      <c r="H6" s="20">
        <f>SUMIF(I$12:AB$12,"总值",I6:AB6)</f>
        <v>30173.79</v>
      </c>
      <c r="I6" s="16">
        <f t="shared" ref="I6:AB6" si="2">ROUND($A$3*I5/$B$3,2)</f>
        <v>10644.3</v>
      </c>
      <c r="J6" s="16">
        <f t="shared" si="2"/>
        <v>0</v>
      </c>
      <c r="K6" s="16">
        <f t="shared" si="2"/>
        <v>9870.4500000000007</v>
      </c>
      <c r="L6" s="16">
        <f t="shared" si="2"/>
        <v>0</v>
      </c>
      <c r="M6" s="16">
        <f t="shared" si="2"/>
        <v>6686.93</v>
      </c>
      <c r="N6" s="16">
        <f t="shared" si="2"/>
        <v>0</v>
      </c>
      <c r="O6" s="16">
        <f t="shared" si="2"/>
        <v>2972.11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963.19</v>
      </c>
      <c r="AD6" s="16">
        <f t="shared" ref="AD6:AS6" si="3">ROUND($A$3*AD5/$B$3,2)</f>
        <v>110.56</v>
      </c>
      <c r="AE6" s="16">
        <f t="shared" si="3"/>
        <v>0</v>
      </c>
      <c r="AF6" s="16">
        <f t="shared" si="3"/>
        <v>68.900000000000006</v>
      </c>
      <c r="AG6" s="16">
        <f t="shared" si="3"/>
        <v>0</v>
      </c>
      <c r="AH6" s="16">
        <f t="shared" si="3"/>
        <v>0</v>
      </c>
      <c r="AI6" s="16">
        <f t="shared" si="3"/>
        <v>0</v>
      </c>
      <c r="AJ6" s="16">
        <f t="shared" si="3"/>
        <v>0</v>
      </c>
      <c r="AK6" s="16">
        <f t="shared" si="3"/>
        <v>0</v>
      </c>
      <c r="AL6" s="16">
        <f t="shared" si="3"/>
        <v>103.03</v>
      </c>
      <c r="AM6" s="16">
        <f t="shared" si="3"/>
        <v>0</v>
      </c>
      <c r="AN6" s="16">
        <f t="shared" si="3"/>
        <v>680.7</v>
      </c>
      <c r="AO6" s="16">
        <f t="shared" si="3"/>
        <v>0</v>
      </c>
      <c r="AP6" s="16">
        <f t="shared" si="3"/>
        <v>0</v>
      </c>
      <c r="AQ6" s="16">
        <f t="shared" si="3"/>
        <v>0</v>
      </c>
      <c r="AR6" s="16">
        <f t="shared" si="3"/>
        <v>0</v>
      </c>
      <c r="AS6" s="16">
        <f t="shared" si="3"/>
        <v>0</v>
      </c>
      <c r="AT6" s="20">
        <f>IF(C3="是",ROUND($A$3*AT5/$B$3,2),0)</f>
        <v>4029.91</v>
      </c>
      <c r="AU6" s="2174"/>
      <c r="AV6" s="15" t="s">
        <v>1874</v>
      </c>
      <c r="AW6" s="2172"/>
      <c r="AX6" s="2172"/>
      <c r="AY6" s="21">
        <f>IF(AY3&gt;0,AY3,ROUND($A$3*AZ5/$B$3,2))</f>
        <v>31136.97</v>
      </c>
      <c r="AZ6" s="16" t="s">
        <v>3</v>
      </c>
      <c r="BA6" s="16">
        <f>ROUND($AY$6*BA5/$AZ$5,2)</f>
        <v>30173.78</v>
      </c>
      <c r="BB6" s="16">
        <f>ROUND($AY$6*BB5/$AZ$5,2)</f>
        <v>10644.3</v>
      </c>
      <c r="BC6" s="16">
        <f t="shared" ref="BC6:BH6" si="4">ROUND($AY$6*BC5/$AZ$5,2)</f>
        <v>9870.4500000000007</v>
      </c>
      <c r="BD6" s="16">
        <f t="shared" si="4"/>
        <v>6686.93</v>
      </c>
      <c r="BE6" s="16">
        <f t="shared" si="4"/>
        <v>2972.11</v>
      </c>
      <c r="BF6" s="16">
        <f t="shared" si="4"/>
        <v>0</v>
      </c>
      <c r="BG6" s="16">
        <f t="shared" si="4"/>
        <v>0</v>
      </c>
      <c r="BH6" s="16">
        <f t="shared" si="4"/>
        <v>0</v>
      </c>
      <c r="BI6" s="16">
        <f t="shared" ref="BI6:BT6" si="5">ROUND($AY$6*BI5/$AZ$5,2)</f>
        <v>0</v>
      </c>
      <c r="BJ6" s="16">
        <f t="shared" si="5"/>
        <v>0</v>
      </c>
      <c r="BK6" s="16">
        <f t="shared" si="5"/>
        <v>0</v>
      </c>
      <c r="BL6" s="16">
        <f t="shared" si="5"/>
        <v>963.19</v>
      </c>
      <c r="BM6" s="16">
        <f t="shared" si="5"/>
        <v>110.56</v>
      </c>
      <c r="BN6" s="16">
        <f t="shared" si="5"/>
        <v>68.900000000000006</v>
      </c>
      <c r="BO6" s="16">
        <f t="shared" si="5"/>
        <v>0</v>
      </c>
      <c r="BP6" s="16">
        <f t="shared" si="5"/>
        <v>0</v>
      </c>
      <c r="BQ6" s="16">
        <f t="shared" si="5"/>
        <v>103.03</v>
      </c>
      <c r="BR6" s="16">
        <f t="shared" si="5"/>
        <v>680.7</v>
      </c>
      <c r="BS6" s="16">
        <f t="shared" si="5"/>
        <v>0</v>
      </c>
      <c r="BT6" s="22">
        <f t="shared" si="5"/>
        <v>0</v>
      </c>
    </row>
    <row r="7" spans="1:72" s="2165" customFormat="1" ht="24.75">
      <c r="A7" s="2107" t="s">
        <v>1875</v>
      </c>
      <c r="B7" s="2107" t="s">
        <v>1876</v>
      </c>
      <c r="C7" s="2923"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1882</v>
      </c>
      <c r="AV7" s="23" t="s">
        <v>1883</v>
      </c>
      <c r="AW7" s="2164" t="s">
        <v>1884</v>
      </c>
      <c r="AX7" s="23" t="s">
        <v>1877</v>
      </c>
      <c r="AY7" s="1803"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18"/>
      <c r="K8" s="1818"/>
      <c r="L8" s="1818"/>
      <c r="M8" s="1818"/>
      <c r="N8" s="1818"/>
      <c r="O8" s="1818"/>
      <c r="P8" s="1818"/>
      <c r="Q8" s="1818"/>
      <c r="R8" s="1818"/>
      <c r="S8" s="1818"/>
      <c r="T8" s="1818"/>
      <c r="U8" s="1818"/>
      <c r="V8" s="2184"/>
      <c r="W8" s="1818"/>
      <c r="X8" s="1818"/>
      <c r="Y8" s="1818"/>
      <c r="Z8" s="1818"/>
      <c r="AA8" s="2184"/>
      <c r="AB8" s="2185"/>
      <c r="AC8" s="981" t="s">
        <v>1888</v>
      </c>
      <c r="AD8" s="2186"/>
      <c r="AE8" s="2178"/>
      <c r="AF8" s="1818"/>
      <c r="AG8" s="1818"/>
      <c r="AH8" s="1818"/>
      <c r="AI8" s="1818"/>
      <c r="AJ8" s="1818"/>
      <c r="AK8" s="1818"/>
      <c r="AL8" s="1818"/>
      <c r="AM8" s="1818"/>
      <c r="AN8" s="1818"/>
      <c r="AO8" s="1818"/>
      <c r="AP8" s="1818"/>
      <c r="AQ8" s="1818"/>
      <c r="AR8" s="1818"/>
      <c r="AS8" s="1818"/>
      <c r="AT8" s="1292" t="s">
        <v>1889</v>
      </c>
      <c r="AU8" s="2180" t="s">
        <v>1890</v>
      </c>
      <c r="AV8" s="1292"/>
      <c r="AW8" s="2163"/>
      <c r="AX8" s="1292"/>
      <c r="AY8" s="2164"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1893</v>
      </c>
      <c r="I9" s="2189" t="s">
        <v>3150</v>
      </c>
      <c r="J9" s="981"/>
      <c r="K9" s="2189" t="s">
        <v>3153</v>
      </c>
      <c r="L9" s="981"/>
      <c r="M9" s="2189" t="s">
        <v>3153</v>
      </c>
      <c r="N9" s="981"/>
      <c r="O9" s="2189" t="s">
        <v>3150</v>
      </c>
      <c r="P9" s="981"/>
      <c r="Q9" s="2189"/>
      <c r="R9" s="981"/>
      <c r="S9" s="2189"/>
      <c r="T9" s="981"/>
      <c r="U9" s="2189"/>
      <c r="V9" s="981"/>
      <c r="W9" s="2189"/>
      <c r="X9" s="2190"/>
      <c r="Y9" s="2189"/>
      <c r="Z9" s="981"/>
      <c r="AA9" s="2189"/>
      <c r="AB9" s="981"/>
      <c r="AC9" s="2181"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1"/>
      <c r="AT9" s="2180"/>
      <c r="AU9" s="2180" t="s">
        <v>1896</v>
      </c>
      <c r="AV9" s="1292"/>
      <c r="AW9" s="2163"/>
      <c r="AX9" s="1292"/>
      <c r="AY9" s="28"/>
      <c r="AZ9" s="28" t="s">
        <v>1886</v>
      </c>
      <c r="BA9" s="2192" t="s">
        <v>1897</v>
      </c>
      <c r="BB9" s="2193"/>
      <c r="BC9" s="1338"/>
      <c r="BD9" s="1338"/>
      <c r="BE9" s="1338"/>
      <c r="BF9" s="1338"/>
      <c r="BG9" s="1338"/>
      <c r="BH9" s="1338"/>
      <c r="BI9" s="1338"/>
      <c r="BJ9" s="1338"/>
      <c r="BK9" s="2194"/>
      <c r="BL9" s="15" t="s">
        <v>1898</v>
      </c>
      <c r="BM9" s="1818"/>
      <c r="BN9" s="2183"/>
      <c r="BO9" s="1818"/>
      <c r="BP9" s="1818"/>
      <c r="BQ9" s="1818"/>
      <c r="BR9" s="1818"/>
      <c r="BS9" s="1818"/>
      <c r="BT9" s="26"/>
    </row>
    <row r="10" spans="1:72" s="2187" customFormat="1" ht="12.75">
      <c r="A10" s="2180"/>
      <c r="B10" s="2180"/>
      <c r="C10" s="2180"/>
      <c r="D10" s="2180"/>
      <c r="E10" s="2180"/>
      <c r="F10" s="2180"/>
      <c r="G10" s="1292"/>
      <c r="H10" s="28"/>
      <c r="I10" s="2189" t="s">
        <v>3151</v>
      </c>
      <c r="J10" s="981"/>
      <c r="K10" s="2195" t="s">
        <v>3154</v>
      </c>
      <c r="L10" s="981"/>
      <c r="M10" s="2195" t="s">
        <v>3156</v>
      </c>
      <c r="N10" s="981"/>
      <c r="O10" s="2195" t="s">
        <v>3151</v>
      </c>
      <c r="P10" s="981"/>
      <c r="Q10" s="2195"/>
      <c r="R10" s="981"/>
      <c r="S10" s="2195"/>
      <c r="T10" s="981"/>
      <c r="U10" s="2195"/>
      <c r="V10" s="981"/>
      <c r="W10" s="2195"/>
      <c r="X10" s="981"/>
      <c r="Y10" s="2195"/>
      <c r="Z10" s="981"/>
      <c r="AA10" s="2195"/>
      <c r="AB10" s="981"/>
      <c r="AC10" s="1292"/>
      <c r="AD10" s="15" t="s">
        <v>1899</v>
      </c>
      <c r="AE10" s="2196"/>
      <c r="AF10" s="15" t="s">
        <v>1899</v>
      </c>
      <c r="AG10" s="2196"/>
      <c r="AH10" s="15" t="s">
        <v>1900</v>
      </c>
      <c r="AI10" s="2196"/>
      <c r="AJ10" s="15" t="s">
        <v>1900</v>
      </c>
      <c r="AK10" s="2196"/>
      <c r="AL10" s="15" t="s">
        <v>1901</v>
      </c>
      <c r="AM10" s="1298"/>
      <c r="AN10" s="15" t="s">
        <v>1901</v>
      </c>
      <c r="AO10" s="1298"/>
      <c r="AP10" s="15" t="s">
        <v>1902</v>
      </c>
      <c r="AQ10" s="1298"/>
      <c r="AR10" s="15" t="s">
        <v>1902</v>
      </c>
      <c r="AS10" s="1298"/>
      <c r="AT10" s="2180"/>
      <c r="AU10" s="2180"/>
      <c r="AV10" s="1292"/>
      <c r="AW10" s="2163"/>
      <c r="AX10" s="1292"/>
      <c r="AY10" s="28"/>
      <c r="AZ10" s="28"/>
      <c r="BA10" s="2197" t="s">
        <v>1893</v>
      </c>
      <c r="BB10" s="2198" t="str">
        <f>I9</f>
        <v>地上</v>
      </c>
      <c r="BC10" s="29" t="str">
        <f>K9</f>
        <v>地下</v>
      </c>
      <c r="BD10" s="29" t="str">
        <f>M9</f>
        <v>地下</v>
      </c>
      <c r="BE10" s="29" t="str">
        <f>O9</f>
        <v>地上</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3152</v>
      </c>
      <c r="J11" s="2201"/>
      <c r="K11" s="2200"/>
      <c r="L11" s="2201"/>
      <c r="M11" s="2200"/>
      <c r="N11" s="2201"/>
      <c r="O11" s="2200" t="s">
        <v>35</v>
      </c>
      <c r="P11" s="2201"/>
      <c r="Q11" s="2200"/>
      <c r="R11" s="2201"/>
      <c r="S11" s="2200"/>
      <c r="T11" s="2201"/>
      <c r="U11" s="2200"/>
      <c r="V11" s="2201"/>
      <c r="W11" s="2200"/>
      <c r="X11" s="2201"/>
      <c r="Y11" s="2200"/>
      <c r="Z11" s="2201"/>
      <c r="AA11" s="2200"/>
      <c r="AB11" s="2201"/>
      <c r="AC11" s="1292"/>
      <c r="AD11" s="2202" t="s">
        <v>1903</v>
      </c>
      <c r="AE11" s="1819"/>
      <c r="AF11" s="2202" t="s">
        <v>1903</v>
      </c>
      <c r="AG11" s="1819"/>
      <c r="AH11" s="2202" t="s">
        <v>1904</v>
      </c>
      <c r="AI11" s="2203"/>
      <c r="AJ11" s="2202" t="s">
        <v>1904</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仓储</v>
      </c>
      <c r="BD11" s="2185" t="str">
        <f>M10</f>
        <v>车库</v>
      </c>
      <c r="BE11" s="2185" t="str">
        <f>O10</f>
        <v>住宅</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7"/>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叠拼</v>
      </c>
      <c r="BC12" s="2210">
        <f>K11</f>
        <v>0</v>
      </c>
      <c r="BD12" s="2210">
        <f>M11</f>
        <v>0</v>
      </c>
      <c r="BE12" s="2185" t="str">
        <f>O11</f>
        <v>限价商品房</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63.75">
      <c r="A13" s="2975" t="str">
        <f>项目基本情况!E18</f>
        <v>《不动产权证书》[京（2017）昌不动产权第0000006号]</v>
      </c>
      <c r="B13" s="1272" t="s">
        <v>3149</v>
      </c>
      <c r="C13" s="1272" t="str">
        <f>规证整理!B5</f>
        <v>5#住宅楼</v>
      </c>
      <c r="D13" s="2211" t="s">
        <v>3145</v>
      </c>
      <c r="E13" s="16">
        <f>IF($C$3="是",ROUND($A$3*G13/$B$3,2),ROUND($A$3*(G13-AT13)/$B$3,2))</f>
        <v>815.46</v>
      </c>
      <c r="F13" s="32"/>
      <c r="G13" s="33">
        <f>H13+AC13+AT13</f>
        <v>3073.2999999999997</v>
      </c>
      <c r="H13" s="20">
        <f>SUMIF(I$12:AB$12,"总值",I13:AB13)</f>
        <v>3042.91</v>
      </c>
      <c r="I13" s="2212">
        <f>规证整理!G5-[1]商品房!$J$18</f>
        <v>1650.87</v>
      </c>
      <c r="J13" s="2212"/>
      <c r="K13" s="2212">
        <f>规证整理!H5-[1]商品房!$K$18</f>
        <v>1392.0400000000002</v>
      </c>
      <c r="L13" s="2212"/>
      <c r="M13" s="2212"/>
      <c r="N13" s="2212"/>
      <c r="O13" s="2212"/>
      <c r="P13" s="2212"/>
      <c r="Q13" s="2212"/>
      <c r="R13" s="2212"/>
      <c r="S13" s="2212"/>
      <c r="T13" s="2212"/>
      <c r="U13" s="2212"/>
      <c r="V13" s="2212"/>
      <c r="W13" s="2212"/>
      <c r="X13" s="2212"/>
      <c r="Y13" s="2212"/>
      <c r="Z13" s="2212"/>
      <c r="AA13" s="2212"/>
      <c r="AB13" s="2212"/>
      <c r="AC13" s="16">
        <f>SUMIF(AD$12:AS$12,"总值",AD13:AS13)</f>
        <v>30.39</v>
      </c>
      <c r="AD13" s="2213"/>
      <c r="AE13" s="2213"/>
      <c r="AF13" s="2213"/>
      <c r="AG13" s="2213"/>
      <c r="AH13" s="2213"/>
      <c r="AI13" s="2213"/>
      <c r="AJ13" s="2213"/>
      <c r="AK13" s="2213"/>
      <c r="AL13" s="2213"/>
      <c r="AM13" s="2213"/>
      <c r="AN13" s="2213">
        <f>规证整理!I5</f>
        <v>30.39</v>
      </c>
      <c r="AO13" s="2213"/>
      <c r="AP13" s="2213"/>
      <c r="AQ13" s="2213"/>
      <c r="AR13" s="2213"/>
      <c r="AS13" s="2213"/>
      <c r="AT13" s="2214"/>
      <c r="AU13" s="2215"/>
      <c r="AV13" s="11" t="str">
        <f t="shared" ref="AV13:AX17" si="6">A13</f>
        <v>《不动产权证书》[京（2017）昌不动产权第0000006号]</v>
      </c>
      <c r="AW13" s="11" t="str">
        <f t="shared" si="6"/>
        <v>《工程规划许可证》证号：建字第110114201600094号</v>
      </c>
      <c r="AX13" s="11" t="str">
        <f t="shared" si="6"/>
        <v>5#住宅楼</v>
      </c>
      <c r="AY13" s="1806">
        <f>ROUND($AY$6*AZ13/$AZ$5,2)</f>
        <v>815.46</v>
      </c>
      <c r="AZ13" s="16">
        <f>BA13+BL13</f>
        <v>3073.2999999999997</v>
      </c>
      <c r="BA13" s="16">
        <f>SUM(BB13:BK13)</f>
        <v>3042.91</v>
      </c>
      <c r="BB13" s="16">
        <f>IF($D13="是",I13-J13,0)</f>
        <v>1650.87</v>
      </c>
      <c r="BC13" s="16">
        <f>IF($D13="是",K13-L13,0)</f>
        <v>1392.0400000000002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30.39</v>
      </c>
      <c r="BM13" s="16">
        <f>IF($D13="是",AD13-AE13,0)</f>
        <v>0</v>
      </c>
      <c r="BN13" s="16">
        <f>IF($D13="是",AF13-AG13,0)</f>
        <v>0</v>
      </c>
      <c r="BO13" s="16">
        <f>IF($D13="是",AH13-AI13,0)</f>
        <v>0</v>
      </c>
      <c r="BP13" s="16">
        <f>IF($D13="是",AJ13-AK13,0)</f>
        <v>0</v>
      </c>
      <c r="BQ13" s="16">
        <f>IF($D13="是",AL13-AM13,0)</f>
        <v>0</v>
      </c>
      <c r="BR13" s="16">
        <f>IF($D13="是",AN13-AO13,0)</f>
        <v>30.39</v>
      </c>
      <c r="BS13" s="16">
        <f>IF($D13="是",AP13-AQ13,0)</f>
        <v>0</v>
      </c>
      <c r="BT13" s="22">
        <f>IF($D13="是",AR13-AS13,0)</f>
        <v>0</v>
      </c>
    </row>
    <row r="14" spans="1:72" s="2165" customFormat="1" ht="12.75">
      <c r="A14" s="1272"/>
      <c r="B14" s="1272"/>
      <c r="C14" s="1272" t="str">
        <f>规证整理!B6</f>
        <v>8#住宅楼</v>
      </c>
      <c r="D14" s="2211" t="s">
        <v>3145</v>
      </c>
      <c r="E14" s="16">
        <f>IF($C$3="是",ROUND($A$3*G14/$B$3,2),ROUND($A$3*(G14-AT14)/$B$3,2))</f>
        <v>1029.03</v>
      </c>
      <c r="F14" s="32"/>
      <c r="G14" s="33">
        <f>H14+AC14+AT14</f>
        <v>3878.19</v>
      </c>
      <c r="H14" s="20">
        <f>SUMIF(I$12:AB$12,"总值",I14:AB14)</f>
        <v>3855.32</v>
      </c>
      <c r="I14" s="2212">
        <f>规证整理!G6-[1]商品房!$J$19</f>
        <v>1982.65</v>
      </c>
      <c r="J14" s="2212"/>
      <c r="K14" s="2212">
        <f>规证整理!H6-[1]商品房!$K$19</f>
        <v>1872.67</v>
      </c>
      <c r="L14" s="2212"/>
      <c r="M14" s="2212"/>
      <c r="N14" s="2212"/>
      <c r="O14" s="2212"/>
      <c r="P14" s="2212"/>
      <c r="Q14" s="2212"/>
      <c r="R14" s="2212"/>
      <c r="S14" s="2212"/>
      <c r="T14" s="2212"/>
      <c r="U14" s="2212"/>
      <c r="V14" s="2212"/>
      <c r="W14" s="2212"/>
      <c r="X14" s="2212"/>
      <c r="Y14" s="2212"/>
      <c r="Z14" s="2212"/>
      <c r="AA14" s="2212"/>
      <c r="AB14" s="2212"/>
      <c r="AC14" s="16">
        <f>SUMIF(AD$12:AS$12,"总值",AD14:AS14)</f>
        <v>22.87</v>
      </c>
      <c r="AD14" s="2213"/>
      <c r="AE14" s="2213"/>
      <c r="AF14" s="2213"/>
      <c r="AG14" s="2213"/>
      <c r="AH14" s="2213"/>
      <c r="AI14" s="2213"/>
      <c r="AJ14" s="2213"/>
      <c r="AK14" s="2213"/>
      <c r="AL14" s="2213"/>
      <c r="AM14" s="2213"/>
      <c r="AN14" s="2213">
        <f>规证整理!I6</f>
        <v>22.87</v>
      </c>
      <c r="AO14" s="2213"/>
      <c r="AP14" s="2213"/>
      <c r="AQ14" s="2213"/>
      <c r="AR14" s="2213"/>
      <c r="AS14" s="2213"/>
      <c r="AT14" s="2214"/>
      <c r="AU14" s="2215"/>
      <c r="AV14" s="11">
        <f t="shared" si="6"/>
        <v>0</v>
      </c>
      <c r="AW14" s="11">
        <f t="shared" si="6"/>
        <v>0</v>
      </c>
      <c r="AX14" s="11" t="str">
        <f t="shared" si="6"/>
        <v>8#住宅楼</v>
      </c>
      <c r="AY14" s="1806">
        <f>ROUND($AY$6*AZ14/$AZ$5,2)</f>
        <v>1029.03</v>
      </c>
      <c r="AZ14" s="16">
        <f>BA14+BL14</f>
        <v>3878.19</v>
      </c>
      <c r="BA14" s="16">
        <f>SUM(BB14:BK14)</f>
        <v>3855.32</v>
      </c>
      <c r="BB14" s="16">
        <f>IF($D14="是",I14-J14,0)</f>
        <v>1982.65</v>
      </c>
      <c r="BC14" s="16">
        <f>IF($D14="是",K14-L14,0)</f>
        <v>1872.67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22.87</v>
      </c>
      <c r="BM14" s="16">
        <f>IF($D14="是",AD14-AE14,0)</f>
        <v>0</v>
      </c>
      <c r="BN14" s="16">
        <f>IF($D14="是",AF14-AG14,0)</f>
        <v>0</v>
      </c>
      <c r="BO14" s="16">
        <f>IF($D14="是",AH14-AI14,0)</f>
        <v>0</v>
      </c>
      <c r="BP14" s="16">
        <f>IF($D14="是",AJ14-AK14,0)</f>
        <v>0</v>
      </c>
      <c r="BQ14" s="16">
        <f>IF($D14="是",AL14-AM14,0)</f>
        <v>0</v>
      </c>
      <c r="BR14" s="16">
        <f>IF($D14="是",AN14-AO14,0)</f>
        <v>22.87</v>
      </c>
      <c r="BS14" s="16">
        <f>IF($D14="是",AP14-AQ14,0)</f>
        <v>0</v>
      </c>
      <c r="BT14" s="22">
        <f>IF($D14="是",AR14-AS14,0)</f>
        <v>0</v>
      </c>
    </row>
    <row r="15" spans="1:72" s="2165" customFormat="1" ht="12.75">
      <c r="A15" s="1272"/>
      <c r="B15" s="1272"/>
      <c r="C15" s="1272" t="str">
        <f>规证整理!B7</f>
        <v>9#住宅楼</v>
      </c>
      <c r="D15" s="2211" t="s">
        <v>3145</v>
      </c>
      <c r="E15" s="16">
        <f>IF($C$3="是",ROUND($A$3*G15/$B$3,2),ROUND($A$3*(G15-AT15)/$B$3,2))</f>
        <v>496.29</v>
      </c>
      <c r="F15" s="32"/>
      <c r="G15" s="33">
        <f>H15+AC15+AT15</f>
        <v>1870.4100000000003</v>
      </c>
      <c r="H15" s="20">
        <f>SUMIF(I$12:AB$12,"总值",I15:AB15)</f>
        <v>1840.0200000000002</v>
      </c>
      <c r="I15" s="2212">
        <f>规证整理!G7-[1]商品房!$J$20</f>
        <v>1055.6100000000001</v>
      </c>
      <c r="J15" s="2212"/>
      <c r="K15" s="2212">
        <f>规证整理!H7-[1]商品房!$K$20</f>
        <v>784.41000000000008</v>
      </c>
      <c r="L15" s="2212"/>
      <c r="M15" s="2212"/>
      <c r="N15" s="2212"/>
      <c r="O15" s="2212"/>
      <c r="P15" s="2212"/>
      <c r="Q15" s="2212"/>
      <c r="R15" s="2212"/>
      <c r="S15" s="2212"/>
      <c r="T15" s="2212"/>
      <c r="U15" s="2212"/>
      <c r="V15" s="2212"/>
      <c r="W15" s="2212"/>
      <c r="X15" s="2212"/>
      <c r="Y15" s="2212"/>
      <c r="Z15" s="2212"/>
      <c r="AA15" s="2212"/>
      <c r="AB15" s="2212"/>
      <c r="AC15" s="16">
        <f>SUMIF(AD$12:AS$12,"总值",AD15:AS15)</f>
        <v>30.39</v>
      </c>
      <c r="AD15" s="2213"/>
      <c r="AE15" s="2213"/>
      <c r="AF15" s="2213"/>
      <c r="AG15" s="2213"/>
      <c r="AH15" s="2213"/>
      <c r="AI15" s="2213"/>
      <c r="AJ15" s="2213"/>
      <c r="AK15" s="2213"/>
      <c r="AL15" s="2213"/>
      <c r="AM15" s="2213"/>
      <c r="AN15" s="2213">
        <f>规证整理!I7</f>
        <v>30.39</v>
      </c>
      <c r="AO15" s="2213"/>
      <c r="AP15" s="2213"/>
      <c r="AQ15" s="2213"/>
      <c r="AR15" s="2213"/>
      <c r="AS15" s="2213"/>
      <c r="AT15" s="2214"/>
      <c r="AU15" s="2215"/>
      <c r="AV15" s="11">
        <f t="shared" si="6"/>
        <v>0</v>
      </c>
      <c r="AW15" s="11">
        <f t="shared" si="6"/>
        <v>0</v>
      </c>
      <c r="AX15" s="11" t="str">
        <f t="shared" si="6"/>
        <v>9#住宅楼</v>
      </c>
      <c r="AY15" s="1806">
        <f>ROUND($AY$6*AZ15/$AZ$5,2)</f>
        <v>496.29</v>
      </c>
      <c r="AZ15" s="16">
        <f>BA15+BL15</f>
        <v>1870.4100000000003</v>
      </c>
      <c r="BA15" s="16">
        <f>SUM(BB15:BK15)</f>
        <v>1840.0200000000002</v>
      </c>
      <c r="BB15" s="16">
        <f>IF($D15="是",I15-J15,0)</f>
        <v>1055.6100000000001</v>
      </c>
      <c r="BC15" s="16">
        <f>IF($D15="是",K15-L15,0)</f>
        <v>784.41000000000008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30.39</v>
      </c>
      <c r="BM15" s="16">
        <f>IF($D15="是",AD15-AE15,0)</f>
        <v>0</v>
      </c>
      <c r="BN15" s="16">
        <f>IF($D15="是",AF15-AG15,0)</f>
        <v>0</v>
      </c>
      <c r="BO15" s="16">
        <f>IF($D15="是",AH15-AI15,0)</f>
        <v>0</v>
      </c>
      <c r="BP15" s="16">
        <f>IF($D15="是",AJ15-AK15,0)</f>
        <v>0</v>
      </c>
      <c r="BQ15" s="16">
        <f>IF($D15="是",AL15-AM15,0)</f>
        <v>0</v>
      </c>
      <c r="BR15" s="16">
        <f>IF($D15="是",AN15-AO15,0)</f>
        <v>30.39</v>
      </c>
      <c r="BS15" s="16">
        <f>IF($D15="是",AP15-AQ15,0)</f>
        <v>0</v>
      </c>
      <c r="BT15" s="22">
        <f>IF($D15="是",AR15-AS15,0)</f>
        <v>0</v>
      </c>
    </row>
    <row r="16" spans="1:72" s="2165" customFormat="1" ht="25.5">
      <c r="A16" s="1272"/>
      <c r="B16" s="1272"/>
      <c r="C16" s="1272" t="str">
        <f>规证整理!B9</f>
        <v>地下车库一期</v>
      </c>
      <c r="D16" s="2211" t="s">
        <v>3145</v>
      </c>
      <c r="E16" s="16">
        <f>IF($C$3="是",ROUND($A$3*G16/$B$3,2),ROUND($A$3*(G16-AT16)/$B$3,2))</f>
        <v>1174.42</v>
      </c>
      <c r="F16" s="32"/>
      <c r="G16" s="33">
        <f>H16+AC16+AT16</f>
        <v>4426.13</v>
      </c>
      <c r="H16" s="20">
        <f>SUMIF(I$12:AB$12,"总值",I16:AB16)</f>
        <v>4278.43</v>
      </c>
      <c r="I16" s="2212"/>
      <c r="J16" s="2212"/>
      <c r="K16" s="2212"/>
      <c r="L16" s="2212"/>
      <c r="M16" s="2212">
        <f>规证整理!J9</f>
        <v>4278.43</v>
      </c>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f>规证整理!K9</f>
        <v>147.69999999999999</v>
      </c>
      <c r="AU16" s="2215"/>
      <c r="AV16" s="11">
        <f t="shared" si="6"/>
        <v>0</v>
      </c>
      <c r="AW16" s="11">
        <f t="shared" si="6"/>
        <v>0</v>
      </c>
      <c r="AX16" s="11" t="str">
        <f t="shared" si="6"/>
        <v>地下车库一期</v>
      </c>
      <c r="AY16" s="1806">
        <f>ROUND($AY$6*AZ16/$AZ$5,2)</f>
        <v>1135.23</v>
      </c>
      <c r="AZ16" s="16">
        <f>BA16+BL16</f>
        <v>4278.43</v>
      </c>
      <c r="BA16" s="16">
        <f>SUM(BB16:BK16)</f>
        <v>4278.43</v>
      </c>
      <c r="BB16" s="16">
        <f>IF($D16="是",I16-J16,0)</f>
        <v>0</v>
      </c>
      <c r="BC16" s="16">
        <f>IF($D16="是",K16-L16,0)</f>
        <v>0</v>
      </c>
      <c r="BD16" s="16">
        <f>IF($D16="是",M16-N16,0)</f>
        <v>4278.43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63.75">
      <c r="A17" s="1272"/>
      <c r="B17" s="1272" t="str">
        <f>规证整理!A13</f>
        <v>《工程规划许可证》证号：建字第110114201700008号</v>
      </c>
      <c r="C17" s="1272" t="str">
        <f>规证整理!B17</f>
        <v>3#住宅楼</v>
      </c>
      <c r="D17" s="2211" t="s">
        <v>3145</v>
      </c>
      <c r="E17" s="16">
        <f>IF($C$3="是",ROUND($A$3*G17/$B$3,2),ROUND($A$3*(G17-AT17)/$B$3,2))</f>
        <v>1308.27</v>
      </c>
      <c r="F17" s="32"/>
      <c r="G17" s="33">
        <f>H17+AC17+AT17</f>
        <v>4930.59</v>
      </c>
      <c r="H17" s="20">
        <f>SUMIF(I$12:AB$12,"总值",I17:AB17)</f>
        <v>4903.66</v>
      </c>
      <c r="I17" s="2212">
        <f>规证整理!G17</f>
        <v>3517.57</v>
      </c>
      <c r="J17" s="2212"/>
      <c r="K17" s="2212">
        <f>规证整理!H17</f>
        <v>1386.09</v>
      </c>
      <c r="L17" s="2212"/>
      <c r="M17" s="2212"/>
      <c r="N17" s="2212"/>
      <c r="O17" s="2212"/>
      <c r="P17" s="2212"/>
      <c r="Q17" s="2212"/>
      <c r="R17" s="2212"/>
      <c r="S17" s="2212"/>
      <c r="T17" s="2212"/>
      <c r="U17" s="2212"/>
      <c r="V17" s="2212"/>
      <c r="W17" s="2212"/>
      <c r="X17" s="2212"/>
      <c r="Y17" s="2212"/>
      <c r="Z17" s="2212"/>
      <c r="AA17" s="2212"/>
      <c r="AB17" s="2212"/>
      <c r="AC17" s="16">
        <f>SUMIF(AD$12:AS$12,"总值",AD17:AS17)</f>
        <v>26.93</v>
      </c>
      <c r="AD17" s="2213"/>
      <c r="AE17" s="2213"/>
      <c r="AF17" s="2213"/>
      <c r="AG17" s="2213"/>
      <c r="AH17" s="2213"/>
      <c r="AI17" s="2213"/>
      <c r="AJ17" s="2213"/>
      <c r="AK17" s="2213"/>
      <c r="AL17" s="2213"/>
      <c r="AM17" s="2213"/>
      <c r="AN17" s="2213">
        <f>规证整理!I17</f>
        <v>26.93</v>
      </c>
      <c r="AO17" s="2213"/>
      <c r="AP17" s="2213"/>
      <c r="AQ17" s="2213"/>
      <c r="AR17" s="2213"/>
      <c r="AS17" s="2213"/>
      <c r="AT17" s="2214"/>
      <c r="AU17" s="2215"/>
      <c r="AV17" s="11">
        <f t="shared" si="6"/>
        <v>0</v>
      </c>
      <c r="AW17" s="11" t="str">
        <f t="shared" si="6"/>
        <v>《工程规划许可证》证号：建字第110114201700008号</v>
      </c>
      <c r="AX17" s="11" t="str">
        <f t="shared" si="6"/>
        <v>3#住宅楼</v>
      </c>
      <c r="AY17" s="1806">
        <f>ROUND($AY$6*AZ17/$AZ$5,2)</f>
        <v>1308.27</v>
      </c>
      <c r="AZ17" s="16">
        <f>BA17+BL17</f>
        <v>4930.59</v>
      </c>
      <c r="BA17" s="16">
        <f>SUM(BB17:BK17)</f>
        <v>4903.66</v>
      </c>
      <c r="BB17" s="16">
        <f>IF($D17="是",I17-J17,0)</f>
        <v>3517.57</v>
      </c>
      <c r="BC17" s="16">
        <f>IF($D17="是",K17-L17,0)</f>
        <v>1386.09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26.93</v>
      </c>
      <c r="BM17" s="16">
        <f>IF($D17="是",AD17-AE17,0)</f>
        <v>0</v>
      </c>
      <c r="BN17" s="16">
        <f>IF($D17="是",AF17-AG17,0)</f>
        <v>0</v>
      </c>
      <c r="BO17" s="16">
        <f>IF($D17="是",AH17-AI17,0)</f>
        <v>0</v>
      </c>
      <c r="BP17" s="16">
        <f>IF($D17="是",AJ17-AK17,0)</f>
        <v>0</v>
      </c>
      <c r="BQ17" s="16">
        <f>IF($D17="是",AL17-AM17,0)</f>
        <v>0</v>
      </c>
      <c r="BR17" s="16">
        <f>IF($D17="是",AN17-AO17,0)</f>
        <v>26.93</v>
      </c>
      <c r="BS17" s="16">
        <f>IF($D17="是",AP17-AQ17,0)</f>
        <v>0</v>
      </c>
      <c r="BT17" s="22">
        <f>IF($D17="是",AR17-AS17,0)</f>
        <v>0</v>
      </c>
    </row>
    <row r="18" spans="1:72">
      <c r="A18" s="9"/>
      <c r="B18" s="34"/>
      <c r="C18" s="1272" t="str">
        <f>规证整理!B18</f>
        <v>4#住宅楼</v>
      </c>
      <c r="D18" s="2211" t="s">
        <v>3145</v>
      </c>
      <c r="E18" s="16">
        <f t="shared" ref="E18:E112" si="7">IF($C$3="是",ROUND($A$3*G18/$B$3,2),ROUND($A$3*(G18-AT18)/$B$3,2))</f>
        <v>1310.78</v>
      </c>
      <c r="F18" s="32"/>
      <c r="G18" s="33">
        <f t="shared" ref="G18:G109" si="8">H18+AC18+AT18</f>
        <v>4940.05</v>
      </c>
      <c r="H18" s="20">
        <f t="shared" ref="H18:H109" si="9">SUMIF(I$12:AB$12,"总值",I18:AB18)</f>
        <v>4940.05</v>
      </c>
      <c r="I18" s="2212">
        <f>规证整理!G18</f>
        <v>3163.92</v>
      </c>
      <c r="J18" s="39"/>
      <c r="K18" s="2212">
        <f>规证整理!H18</f>
        <v>1776.13</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2213">
        <f>规证整理!I18</f>
        <v>0</v>
      </c>
      <c r="AO18" s="40"/>
      <c r="AP18" s="40"/>
      <c r="AQ18" s="40"/>
      <c r="AR18" s="40"/>
      <c r="AS18" s="40"/>
      <c r="AT18" s="41"/>
      <c r="AU18" s="2217"/>
      <c r="AV18" s="1795">
        <f t="shared" ref="AV18:AV112" si="11">A18</f>
        <v>0</v>
      </c>
      <c r="AW18" s="1795">
        <f t="shared" ref="AW18:AW112" si="12">B18</f>
        <v>0</v>
      </c>
      <c r="AX18" s="1795" t="str">
        <f t="shared" ref="AX18:AX112" si="13">C18</f>
        <v>4#住宅楼</v>
      </c>
      <c r="AY18" s="42">
        <f t="shared" ref="AY18:AY109" si="14">ROUND($AY$6*AZ18/$AZ$5,2)</f>
        <v>1310.78</v>
      </c>
      <c r="AZ18" s="35">
        <f t="shared" ref="AZ18:AZ109" si="15">BA18+BL18</f>
        <v>4940.05</v>
      </c>
      <c r="BA18" s="35">
        <f t="shared" ref="BA18:BA109" si="16">SUM(BB18:BK18)</f>
        <v>4940.05</v>
      </c>
      <c r="BB18" s="35">
        <f t="shared" ref="BB18:BB109" si="17">IF($D18="是",I18-J18,0)</f>
        <v>3163.92</v>
      </c>
      <c r="BC18" s="35">
        <f t="shared" ref="BC18:BC109" si="18">IF($D18="是",K18-L18,0)</f>
        <v>1776.13</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tr">
        <f>规证整理!B19</f>
        <v>6#住宅楼</v>
      </c>
      <c r="D19" s="2211" t="s">
        <v>3145</v>
      </c>
      <c r="E19" s="16">
        <f t="shared" si="7"/>
        <v>880</v>
      </c>
      <c r="F19" s="32"/>
      <c r="G19" s="33">
        <f t="shared" si="8"/>
        <v>3316.5099999999998</v>
      </c>
      <c r="H19" s="20">
        <f t="shared" si="9"/>
        <v>3289.58</v>
      </c>
      <c r="I19" s="2212">
        <f>规证整理!G19</f>
        <v>2381.88</v>
      </c>
      <c r="J19" s="39"/>
      <c r="K19" s="2212">
        <f>规证整理!H19</f>
        <v>907.7</v>
      </c>
      <c r="L19" s="39"/>
      <c r="M19" s="39"/>
      <c r="N19" s="39"/>
      <c r="O19" s="39"/>
      <c r="P19" s="39"/>
      <c r="Q19" s="39"/>
      <c r="R19" s="39"/>
      <c r="S19" s="39"/>
      <c r="T19" s="39"/>
      <c r="U19" s="39"/>
      <c r="V19" s="39"/>
      <c r="W19" s="39"/>
      <c r="X19" s="39"/>
      <c r="Y19" s="39"/>
      <c r="Z19" s="39"/>
      <c r="AA19" s="39"/>
      <c r="AB19" s="39"/>
      <c r="AC19" s="35">
        <f t="shared" si="10"/>
        <v>26.93</v>
      </c>
      <c r="AD19" s="40"/>
      <c r="AE19" s="40"/>
      <c r="AF19" s="40"/>
      <c r="AG19" s="40"/>
      <c r="AH19" s="40"/>
      <c r="AI19" s="40"/>
      <c r="AJ19" s="40"/>
      <c r="AK19" s="40"/>
      <c r="AL19" s="40"/>
      <c r="AM19" s="40"/>
      <c r="AN19" s="2213">
        <f>规证整理!I19</f>
        <v>26.93</v>
      </c>
      <c r="AO19" s="40"/>
      <c r="AP19" s="40"/>
      <c r="AQ19" s="40"/>
      <c r="AR19" s="40"/>
      <c r="AS19" s="40"/>
      <c r="AT19" s="41"/>
      <c r="AU19" s="2217"/>
      <c r="AV19" s="1795">
        <f t="shared" si="11"/>
        <v>0</v>
      </c>
      <c r="AW19" s="1795">
        <f t="shared" si="12"/>
        <v>0</v>
      </c>
      <c r="AX19" s="1795" t="str">
        <f t="shared" si="13"/>
        <v>6#住宅楼</v>
      </c>
      <c r="AY19" s="42">
        <f t="shared" si="14"/>
        <v>880</v>
      </c>
      <c r="AZ19" s="35">
        <f t="shared" si="15"/>
        <v>3316.5099999999998</v>
      </c>
      <c r="BA19" s="35">
        <f t="shared" si="16"/>
        <v>3289.58</v>
      </c>
      <c r="BB19" s="35">
        <f t="shared" si="17"/>
        <v>2381.88</v>
      </c>
      <c r="BC19" s="35">
        <f t="shared" si="18"/>
        <v>907.7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26.93</v>
      </c>
      <c r="BM19" s="35">
        <f t="shared" si="28"/>
        <v>0</v>
      </c>
      <c r="BN19" s="35">
        <f t="shared" si="29"/>
        <v>0</v>
      </c>
      <c r="BO19" s="35">
        <f t="shared" si="30"/>
        <v>0</v>
      </c>
      <c r="BP19" s="35">
        <f t="shared" si="31"/>
        <v>0</v>
      </c>
      <c r="BQ19" s="35">
        <f t="shared" si="32"/>
        <v>0</v>
      </c>
      <c r="BR19" s="35">
        <f t="shared" si="33"/>
        <v>26.93</v>
      </c>
      <c r="BS19" s="35">
        <f t="shared" si="34"/>
        <v>0</v>
      </c>
      <c r="BT19" s="43">
        <f t="shared" si="35"/>
        <v>0</v>
      </c>
    </row>
    <row r="20" spans="1:72">
      <c r="A20" s="9"/>
      <c r="B20" s="34"/>
      <c r="C20" s="1272" t="str">
        <f>规证整理!B20</f>
        <v>7#住宅楼</v>
      </c>
      <c r="D20" s="2211" t="s">
        <v>3145</v>
      </c>
      <c r="E20" s="16">
        <f t="shared" si="7"/>
        <v>1051.1199999999999</v>
      </c>
      <c r="F20" s="32"/>
      <c r="G20" s="33">
        <f t="shared" si="8"/>
        <v>3961.4300000000003</v>
      </c>
      <c r="H20" s="20">
        <f t="shared" si="9"/>
        <v>3933.0200000000004</v>
      </c>
      <c r="I20" s="2212">
        <f>规证整理!G20</f>
        <v>2315.8200000000002</v>
      </c>
      <c r="J20" s="39"/>
      <c r="K20" s="2212">
        <f>规证整理!H20</f>
        <v>1617.2</v>
      </c>
      <c r="L20" s="39"/>
      <c r="M20" s="39"/>
      <c r="N20" s="39"/>
      <c r="O20" s="39"/>
      <c r="P20" s="39"/>
      <c r="Q20" s="39"/>
      <c r="R20" s="39"/>
      <c r="S20" s="39"/>
      <c r="T20" s="39"/>
      <c r="U20" s="39"/>
      <c r="V20" s="39"/>
      <c r="W20" s="39"/>
      <c r="X20" s="39"/>
      <c r="Y20" s="39"/>
      <c r="Z20" s="39"/>
      <c r="AA20" s="39"/>
      <c r="AB20" s="39"/>
      <c r="AC20" s="35">
        <f t="shared" si="10"/>
        <v>28.41</v>
      </c>
      <c r="AD20" s="40"/>
      <c r="AE20" s="40"/>
      <c r="AF20" s="40"/>
      <c r="AG20" s="40"/>
      <c r="AH20" s="40"/>
      <c r="AI20" s="40"/>
      <c r="AJ20" s="40"/>
      <c r="AK20" s="40"/>
      <c r="AL20" s="40"/>
      <c r="AM20" s="40"/>
      <c r="AN20" s="2213">
        <f>规证整理!I20</f>
        <v>28.41</v>
      </c>
      <c r="AO20" s="40"/>
      <c r="AP20" s="40"/>
      <c r="AQ20" s="40"/>
      <c r="AR20" s="40"/>
      <c r="AS20" s="40"/>
      <c r="AT20" s="41"/>
      <c r="AU20" s="2217"/>
      <c r="AV20" s="1795">
        <f t="shared" si="11"/>
        <v>0</v>
      </c>
      <c r="AW20" s="1795">
        <f t="shared" si="12"/>
        <v>0</v>
      </c>
      <c r="AX20" s="1795" t="str">
        <f t="shared" si="13"/>
        <v>7#住宅楼</v>
      </c>
      <c r="AY20" s="42">
        <f t="shared" si="14"/>
        <v>1051.1199999999999</v>
      </c>
      <c r="AZ20" s="35">
        <f t="shared" si="15"/>
        <v>3961.4300000000003</v>
      </c>
      <c r="BA20" s="35">
        <f t="shared" si="16"/>
        <v>3933.0200000000004</v>
      </c>
      <c r="BB20" s="35">
        <f t="shared" si="17"/>
        <v>2315.8200000000002</v>
      </c>
      <c r="BC20" s="35">
        <f t="shared" si="18"/>
        <v>1617.2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28.41</v>
      </c>
      <c r="BM20" s="35">
        <f t="shared" si="28"/>
        <v>0</v>
      </c>
      <c r="BN20" s="35">
        <f t="shared" si="29"/>
        <v>0</v>
      </c>
      <c r="BO20" s="35">
        <f t="shared" si="30"/>
        <v>0</v>
      </c>
      <c r="BP20" s="35">
        <f t="shared" si="31"/>
        <v>0</v>
      </c>
      <c r="BQ20" s="35">
        <f t="shared" si="32"/>
        <v>0</v>
      </c>
      <c r="BR20" s="35">
        <f t="shared" si="33"/>
        <v>28.41</v>
      </c>
      <c r="BS20" s="35">
        <f t="shared" si="34"/>
        <v>0</v>
      </c>
      <c r="BT20" s="43">
        <f t="shared" si="35"/>
        <v>0</v>
      </c>
    </row>
    <row r="21" spans="1:72">
      <c r="A21" s="9"/>
      <c r="B21" s="34"/>
      <c r="C21" s="1272" t="str">
        <f>规证整理!B21</f>
        <v>10#住宅楼</v>
      </c>
      <c r="D21" s="2211" t="s">
        <v>3145</v>
      </c>
      <c r="E21" s="16">
        <f t="shared" si="7"/>
        <v>1051.77</v>
      </c>
      <c r="F21" s="32"/>
      <c r="G21" s="33">
        <f t="shared" si="8"/>
        <v>3963.9</v>
      </c>
      <c r="H21" s="20">
        <f t="shared" si="9"/>
        <v>3935.4900000000002</v>
      </c>
      <c r="I21" s="2212">
        <f>规证整理!G21</f>
        <v>2315.8200000000002</v>
      </c>
      <c r="J21" s="39"/>
      <c r="K21" s="2212">
        <f>规证整理!H21</f>
        <v>1619.67</v>
      </c>
      <c r="L21" s="39"/>
      <c r="M21" s="39"/>
      <c r="N21" s="39"/>
      <c r="O21" s="39"/>
      <c r="P21" s="39"/>
      <c r="Q21" s="39"/>
      <c r="R21" s="39"/>
      <c r="S21" s="39"/>
      <c r="T21" s="39"/>
      <c r="U21" s="39"/>
      <c r="V21" s="39"/>
      <c r="W21" s="39"/>
      <c r="X21" s="39"/>
      <c r="Y21" s="39"/>
      <c r="Z21" s="39"/>
      <c r="AA21" s="39"/>
      <c r="AB21" s="39"/>
      <c r="AC21" s="35">
        <f t="shared" si="10"/>
        <v>28.41</v>
      </c>
      <c r="AD21" s="40"/>
      <c r="AE21" s="40"/>
      <c r="AF21" s="40"/>
      <c r="AG21" s="40"/>
      <c r="AH21" s="40"/>
      <c r="AI21" s="40"/>
      <c r="AJ21" s="40"/>
      <c r="AK21" s="40"/>
      <c r="AL21" s="40"/>
      <c r="AM21" s="40"/>
      <c r="AN21" s="2213">
        <f>规证整理!I21</f>
        <v>28.41</v>
      </c>
      <c r="AO21" s="40"/>
      <c r="AP21" s="40"/>
      <c r="AQ21" s="40"/>
      <c r="AR21" s="40"/>
      <c r="AS21" s="40"/>
      <c r="AT21" s="41"/>
      <c r="AU21" s="2217"/>
      <c r="AV21" s="1795">
        <f t="shared" si="11"/>
        <v>0</v>
      </c>
      <c r="AW21" s="1795">
        <f t="shared" si="12"/>
        <v>0</v>
      </c>
      <c r="AX21" s="1795" t="str">
        <f t="shared" si="13"/>
        <v>10#住宅楼</v>
      </c>
      <c r="AY21" s="42">
        <f t="shared" si="14"/>
        <v>1051.77</v>
      </c>
      <c r="AZ21" s="35">
        <f t="shared" si="15"/>
        <v>3963.9</v>
      </c>
      <c r="BA21" s="35">
        <f t="shared" si="16"/>
        <v>3935.4900000000002</v>
      </c>
      <c r="BB21" s="35">
        <f t="shared" si="17"/>
        <v>2315.8200000000002</v>
      </c>
      <c r="BC21" s="35">
        <f t="shared" si="18"/>
        <v>1619.67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28.41</v>
      </c>
      <c r="BM21" s="35">
        <f t="shared" si="28"/>
        <v>0</v>
      </c>
      <c r="BN21" s="35">
        <f t="shared" si="29"/>
        <v>0</v>
      </c>
      <c r="BO21" s="35">
        <f t="shared" si="30"/>
        <v>0</v>
      </c>
      <c r="BP21" s="35">
        <f t="shared" si="31"/>
        <v>0</v>
      </c>
      <c r="BQ21" s="35">
        <f t="shared" si="32"/>
        <v>0</v>
      </c>
      <c r="BR21" s="35">
        <f t="shared" si="33"/>
        <v>28.41</v>
      </c>
      <c r="BS21" s="35">
        <f t="shared" si="34"/>
        <v>0</v>
      </c>
      <c r="BT21" s="43">
        <f t="shared" si="35"/>
        <v>0</v>
      </c>
    </row>
    <row r="22" spans="1:72" ht="28.5">
      <c r="A22" s="9"/>
      <c r="B22" s="34"/>
      <c r="C22" s="2976" t="str">
        <f>规证整理!B23</f>
        <v>地下车库二期</v>
      </c>
      <c r="D22" s="2211" t="s">
        <v>3145</v>
      </c>
      <c r="E22" s="16">
        <f t="shared" si="7"/>
        <v>2399.79</v>
      </c>
      <c r="F22" s="32"/>
      <c r="G22" s="33">
        <f t="shared" si="8"/>
        <v>9044.26</v>
      </c>
      <c r="H22" s="20">
        <f t="shared" si="9"/>
        <v>6513.05</v>
      </c>
      <c r="I22" s="39"/>
      <c r="J22" s="39"/>
      <c r="K22" s="39"/>
      <c r="L22" s="39"/>
      <c r="M22" s="2212">
        <f>规证整理!J23</f>
        <v>6513.05</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2214">
        <f>规证整理!K23</f>
        <v>2531.21</v>
      </c>
      <c r="AU22" s="2217"/>
      <c r="AV22" s="1795">
        <f t="shared" si="11"/>
        <v>0</v>
      </c>
      <c r="AW22" s="1795">
        <f t="shared" si="12"/>
        <v>0</v>
      </c>
      <c r="AX22" s="1795" t="str">
        <f t="shared" si="13"/>
        <v>地下车库二期</v>
      </c>
      <c r="AY22" s="42">
        <f t="shared" si="14"/>
        <v>1728.16</v>
      </c>
      <c r="AZ22" s="35">
        <f t="shared" si="15"/>
        <v>6513.05</v>
      </c>
      <c r="BA22" s="35">
        <f t="shared" si="16"/>
        <v>6513.05</v>
      </c>
      <c r="BB22" s="35">
        <f t="shared" si="17"/>
        <v>0</v>
      </c>
      <c r="BC22" s="35">
        <f t="shared" si="18"/>
        <v>0</v>
      </c>
      <c r="BD22" s="35">
        <f t="shared" si="19"/>
        <v>6513.05</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85.5">
      <c r="A23" s="9"/>
      <c r="B23" s="2976" t="str">
        <f>规证整理!A27</f>
        <v>《工程规划许可证》证号：建字第110114201700015号</v>
      </c>
      <c r="C23" s="2976" t="str">
        <f>规证整理!B31</f>
        <v>11#住宅楼</v>
      </c>
      <c r="D23" s="2211" t="s">
        <v>3145</v>
      </c>
      <c r="E23" s="16">
        <f t="shared" si="7"/>
        <v>693.58</v>
      </c>
      <c r="F23" s="32"/>
      <c r="G23" s="33">
        <f t="shared" si="8"/>
        <v>2613.9300000000003</v>
      </c>
      <c r="H23" s="20">
        <f t="shared" si="9"/>
        <v>2591.61</v>
      </c>
      <c r="I23" s="2212">
        <f>规证整理!G31</f>
        <v>1549.16</v>
      </c>
      <c r="J23" s="39"/>
      <c r="K23" s="2212">
        <f>规证整理!H31</f>
        <v>1042.45</v>
      </c>
      <c r="L23" s="39"/>
      <c r="M23" s="39"/>
      <c r="N23" s="39"/>
      <c r="O23" s="39"/>
      <c r="P23" s="39"/>
      <c r="Q23" s="39"/>
      <c r="R23" s="39"/>
      <c r="S23" s="39"/>
      <c r="T23" s="39"/>
      <c r="U23" s="39"/>
      <c r="V23" s="39"/>
      <c r="W23" s="39"/>
      <c r="X23" s="39"/>
      <c r="Y23" s="39"/>
      <c r="Z23" s="39"/>
      <c r="AA23" s="39"/>
      <c r="AB23" s="39"/>
      <c r="AC23" s="35">
        <f t="shared" si="10"/>
        <v>22.32</v>
      </c>
      <c r="AD23" s="40"/>
      <c r="AE23" s="40"/>
      <c r="AF23" s="40"/>
      <c r="AG23" s="40"/>
      <c r="AH23" s="40"/>
      <c r="AI23" s="40"/>
      <c r="AJ23" s="40"/>
      <c r="AK23" s="40"/>
      <c r="AL23" s="40"/>
      <c r="AM23" s="40"/>
      <c r="AN23" s="2213">
        <f>规证整理!I31</f>
        <v>22.32</v>
      </c>
      <c r="AO23" s="40"/>
      <c r="AP23" s="40"/>
      <c r="AQ23" s="40"/>
      <c r="AR23" s="40"/>
      <c r="AS23" s="40"/>
      <c r="AT23" s="41"/>
      <c r="AU23" s="2217"/>
      <c r="AV23" s="1795">
        <f t="shared" si="11"/>
        <v>0</v>
      </c>
      <c r="AW23" s="1795" t="str">
        <f t="shared" si="12"/>
        <v>《工程规划许可证》证号：建字第110114201700015号</v>
      </c>
      <c r="AX23" s="1795" t="str">
        <f t="shared" si="13"/>
        <v>11#住宅楼</v>
      </c>
      <c r="AY23" s="42">
        <f t="shared" si="14"/>
        <v>693.58</v>
      </c>
      <c r="AZ23" s="35">
        <f t="shared" si="15"/>
        <v>2613.9300000000003</v>
      </c>
      <c r="BA23" s="35">
        <f t="shared" si="16"/>
        <v>2591.61</v>
      </c>
      <c r="BB23" s="35">
        <f t="shared" si="17"/>
        <v>1549.16</v>
      </c>
      <c r="BC23" s="35">
        <f t="shared" si="18"/>
        <v>1042.45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22.32</v>
      </c>
      <c r="BM23" s="35">
        <f t="shared" si="28"/>
        <v>0</v>
      </c>
      <c r="BN23" s="35">
        <f t="shared" si="29"/>
        <v>0</v>
      </c>
      <c r="BO23" s="35">
        <f t="shared" si="30"/>
        <v>0</v>
      </c>
      <c r="BP23" s="35">
        <f t="shared" si="31"/>
        <v>0</v>
      </c>
      <c r="BQ23" s="35">
        <f t="shared" si="32"/>
        <v>0</v>
      </c>
      <c r="BR23" s="35">
        <f t="shared" si="33"/>
        <v>22.32</v>
      </c>
      <c r="BS23" s="35">
        <f t="shared" si="34"/>
        <v>0</v>
      </c>
      <c r="BT23" s="43">
        <f t="shared" si="35"/>
        <v>0</v>
      </c>
    </row>
    <row r="24" spans="1:72">
      <c r="A24" s="9"/>
      <c r="B24" s="34"/>
      <c r="C24" s="2976" t="str">
        <f>规证整理!B32</f>
        <v>12#住宅楼</v>
      </c>
      <c r="D24" s="2211" t="s">
        <v>3145</v>
      </c>
      <c r="E24" s="16">
        <f t="shared" si="7"/>
        <v>1205.24</v>
      </c>
      <c r="F24" s="32"/>
      <c r="G24" s="33">
        <f t="shared" si="8"/>
        <v>4542.26</v>
      </c>
      <c r="H24" s="20">
        <f t="shared" si="9"/>
        <v>4520.2</v>
      </c>
      <c r="I24" s="2212">
        <f>规证整理!G32</f>
        <v>2380.6799999999998</v>
      </c>
      <c r="J24" s="39"/>
      <c r="K24" s="2212">
        <f>规证整理!H32</f>
        <v>2139.52</v>
      </c>
      <c r="L24" s="39"/>
      <c r="M24" s="39"/>
      <c r="N24" s="39"/>
      <c r="O24" s="39"/>
      <c r="P24" s="39"/>
      <c r="Q24" s="39"/>
      <c r="R24" s="39"/>
      <c r="S24" s="39"/>
      <c r="T24" s="39"/>
      <c r="U24" s="39"/>
      <c r="V24" s="39"/>
      <c r="W24" s="39"/>
      <c r="X24" s="39"/>
      <c r="Y24" s="39"/>
      <c r="Z24" s="39"/>
      <c r="AA24" s="39"/>
      <c r="AB24" s="39"/>
      <c r="AC24" s="35">
        <f t="shared" si="10"/>
        <v>22.06</v>
      </c>
      <c r="AD24" s="40"/>
      <c r="AE24" s="40"/>
      <c r="AF24" s="40"/>
      <c r="AG24" s="40"/>
      <c r="AH24" s="40"/>
      <c r="AI24" s="40"/>
      <c r="AJ24" s="40"/>
      <c r="AK24" s="40"/>
      <c r="AL24" s="40"/>
      <c r="AM24" s="40"/>
      <c r="AN24" s="2213">
        <f>规证整理!I32</f>
        <v>22.06</v>
      </c>
      <c r="AO24" s="40"/>
      <c r="AP24" s="40"/>
      <c r="AQ24" s="40"/>
      <c r="AR24" s="40"/>
      <c r="AS24" s="40"/>
      <c r="AT24" s="41"/>
      <c r="AU24" s="2217"/>
      <c r="AV24" s="1795">
        <f t="shared" si="11"/>
        <v>0</v>
      </c>
      <c r="AW24" s="1795">
        <f t="shared" si="12"/>
        <v>0</v>
      </c>
      <c r="AX24" s="1795" t="str">
        <f t="shared" si="13"/>
        <v>12#住宅楼</v>
      </c>
      <c r="AY24" s="42">
        <f t="shared" si="14"/>
        <v>1205.24</v>
      </c>
      <c r="AZ24" s="35">
        <f t="shared" si="15"/>
        <v>4542.26</v>
      </c>
      <c r="BA24" s="35">
        <f t="shared" si="16"/>
        <v>4520.2</v>
      </c>
      <c r="BB24" s="35">
        <f t="shared" si="17"/>
        <v>2380.6799999999998</v>
      </c>
      <c r="BC24" s="35">
        <f t="shared" si="18"/>
        <v>2139.52</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22.06</v>
      </c>
      <c r="BM24" s="35">
        <f t="shared" si="28"/>
        <v>0</v>
      </c>
      <c r="BN24" s="35">
        <f t="shared" si="29"/>
        <v>0</v>
      </c>
      <c r="BO24" s="35">
        <f t="shared" si="30"/>
        <v>0</v>
      </c>
      <c r="BP24" s="35">
        <f t="shared" si="31"/>
        <v>0</v>
      </c>
      <c r="BQ24" s="35">
        <f t="shared" si="32"/>
        <v>0</v>
      </c>
      <c r="BR24" s="35">
        <f t="shared" si="33"/>
        <v>22.06</v>
      </c>
      <c r="BS24" s="35">
        <f t="shared" si="34"/>
        <v>0</v>
      </c>
      <c r="BT24" s="43">
        <f t="shared" si="35"/>
        <v>0</v>
      </c>
    </row>
    <row r="25" spans="1:72">
      <c r="A25" s="9"/>
      <c r="B25" s="34"/>
      <c r="C25" s="2976" t="str">
        <f>规证整理!B33</f>
        <v>13#住宅楼</v>
      </c>
      <c r="D25" s="2211" t="s">
        <v>3145</v>
      </c>
      <c r="E25" s="16">
        <f t="shared" si="7"/>
        <v>1161.6600000000001</v>
      </c>
      <c r="F25" s="32"/>
      <c r="G25" s="33">
        <f t="shared" si="8"/>
        <v>4378.03</v>
      </c>
      <c r="H25" s="20">
        <f t="shared" si="9"/>
        <v>4355.9699999999993</v>
      </c>
      <c r="I25" s="2212">
        <f>规证整理!G33</f>
        <v>2380.6799999999998</v>
      </c>
      <c r="J25" s="39"/>
      <c r="K25" s="2212">
        <f>规证整理!H33</f>
        <v>1975.29</v>
      </c>
      <c r="L25" s="39"/>
      <c r="M25" s="39"/>
      <c r="N25" s="39"/>
      <c r="O25" s="39"/>
      <c r="P25" s="39"/>
      <c r="Q25" s="39"/>
      <c r="R25" s="39"/>
      <c r="S25" s="39"/>
      <c r="T25" s="39"/>
      <c r="U25" s="39"/>
      <c r="V25" s="39"/>
      <c r="W25" s="39"/>
      <c r="X25" s="39"/>
      <c r="Y25" s="39"/>
      <c r="Z25" s="39"/>
      <c r="AA25" s="39"/>
      <c r="AB25" s="39"/>
      <c r="AC25" s="35">
        <f t="shared" si="10"/>
        <v>22.06</v>
      </c>
      <c r="AD25" s="40"/>
      <c r="AE25" s="40"/>
      <c r="AF25" s="40"/>
      <c r="AG25" s="40"/>
      <c r="AH25" s="40"/>
      <c r="AI25" s="40"/>
      <c r="AJ25" s="40"/>
      <c r="AK25" s="40"/>
      <c r="AL25" s="40"/>
      <c r="AM25" s="40"/>
      <c r="AN25" s="2213">
        <f>规证整理!I33</f>
        <v>22.06</v>
      </c>
      <c r="AO25" s="40"/>
      <c r="AP25" s="40"/>
      <c r="AQ25" s="40"/>
      <c r="AR25" s="40"/>
      <c r="AS25" s="40"/>
      <c r="AT25" s="41"/>
      <c r="AU25" s="2217"/>
      <c r="AV25" s="1795">
        <f t="shared" si="11"/>
        <v>0</v>
      </c>
      <c r="AW25" s="1795">
        <f t="shared" si="12"/>
        <v>0</v>
      </c>
      <c r="AX25" s="1795" t="str">
        <f t="shared" si="13"/>
        <v>13#住宅楼</v>
      </c>
      <c r="AY25" s="42">
        <f t="shared" si="14"/>
        <v>1161.6600000000001</v>
      </c>
      <c r="AZ25" s="35">
        <f t="shared" si="15"/>
        <v>4378.03</v>
      </c>
      <c r="BA25" s="35">
        <f t="shared" si="16"/>
        <v>4355.9699999999993</v>
      </c>
      <c r="BB25" s="35">
        <f t="shared" si="17"/>
        <v>2380.6799999999998</v>
      </c>
      <c r="BC25" s="35">
        <f t="shared" si="18"/>
        <v>1975.29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22.06</v>
      </c>
      <c r="BM25" s="35">
        <f t="shared" si="28"/>
        <v>0</v>
      </c>
      <c r="BN25" s="35">
        <f t="shared" si="29"/>
        <v>0</v>
      </c>
      <c r="BO25" s="35">
        <f t="shared" si="30"/>
        <v>0</v>
      </c>
      <c r="BP25" s="35">
        <f t="shared" si="31"/>
        <v>0</v>
      </c>
      <c r="BQ25" s="35">
        <f t="shared" si="32"/>
        <v>0</v>
      </c>
      <c r="BR25" s="35">
        <f t="shared" si="33"/>
        <v>22.06</v>
      </c>
      <c r="BS25" s="35">
        <f t="shared" si="34"/>
        <v>0</v>
      </c>
      <c r="BT25" s="43">
        <f t="shared" si="35"/>
        <v>0</v>
      </c>
    </row>
    <row r="26" spans="1:72">
      <c r="A26" s="9"/>
      <c r="B26" s="34"/>
      <c r="C26" s="2976" t="str">
        <f>规证整理!B34</f>
        <v>14#住宅楼</v>
      </c>
      <c r="D26" s="2211" t="s">
        <v>3145</v>
      </c>
      <c r="E26" s="16">
        <f t="shared" si="7"/>
        <v>731.9</v>
      </c>
      <c r="F26" s="32"/>
      <c r="G26" s="33">
        <f t="shared" si="8"/>
        <v>2758.36</v>
      </c>
      <c r="H26" s="20">
        <f t="shared" si="9"/>
        <v>2736.04</v>
      </c>
      <c r="I26" s="2212">
        <f>规证整理!G34</f>
        <v>1549.16</v>
      </c>
      <c r="J26" s="39"/>
      <c r="K26" s="2212">
        <f>规证整理!H34</f>
        <v>1186.8800000000001</v>
      </c>
      <c r="L26" s="39"/>
      <c r="M26" s="39"/>
      <c r="N26" s="39"/>
      <c r="O26" s="39"/>
      <c r="P26" s="39"/>
      <c r="Q26" s="39"/>
      <c r="R26" s="39"/>
      <c r="S26" s="39"/>
      <c r="T26" s="39"/>
      <c r="U26" s="39"/>
      <c r="V26" s="39"/>
      <c r="W26" s="39"/>
      <c r="X26" s="39"/>
      <c r="Y26" s="39"/>
      <c r="Z26" s="39"/>
      <c r="AA26" s="39"/>
      <c r="AB26" s="39"/>
      <c r="AC26" s="35">
        <f t="shared" si="10"/>
        <v>22.32</v>
      </c>
      <c r="AD26" s="40"/>
      <c r="AE26" s="40"/>
      <c r="AF26" s="40"/>
      <c r="AG26" s="40"/>
      <c r="AH26" s="40"/>
      <c r="AI26" s="40"/>
      <c r="AJ26" s="40"/>
      <c r="AK26" s="40"/>
      <c r="AL26" s="40"/>
      <c r="AM26" s="40"/>
      <c r="AN26" s="2213">
        <f>规证整理!I34</f>
        <v>22.32</v>
      </c>
      <c r="AO26" s="40"/>
      <c r="AP26" s="40"/>
      <c r="AQ26" s="40"/>
      <c r="AR26" s="40"/>
      <c r="AS26" s="40"/>
      <c r="AT26" s="41"/>
      <c r="AU26" s="2217"/>
      <c r="AV26" s="1795">
        <f t="shared" si="11"/>
        <v>0</v>
      </c>
      <c r="AW26" s="1795">
        <f t="shared" si="12"/>
        <v>0</v>
      </c>
      <c r="AX26" s="1795" t="str">
        <f t="shared" si="13"/>
        <v>14#住宅楼</v>
      </c>
      <c r="AY26" s="42">
        <f t="shared" si="14"/>
        <v>731.9</v>
      </c>
      <c r="AZ26" s="35">
        <f t="shared" si="15"/>
        <v>2758.36</v>
      </c>
      <c r="BA26" s="35">
        <f t="shared" si="16"/>
        <v>2736.04</v>
      </c>
      <c r="BB26" s="35">
        <f t="shared" si="17"/>
        <v>1549.16</v>
      </c>
      <c r="BC26" s="35">
        <f t="shared" si="18"/>
        <v>1186.8800000000001</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22.32</v>
      </c>
      <c r="BM26" s="35">
        <f t="shared" si="28"/>
        <v>0</v>
      </c>
      <c r="BN26" s="35">
        <f t="shared" si="29"/>
        <v>0</v>
      </c>
      <c r="BO26" s="35">
        <f t="shared" si="30"/>
        <v>0</v>
      </c>
      <c r="BP26" s="35">
        <f t="shared" si="31"/>
        <v>0</v>
      </c>
      <c r="BQ26" s="35">
        <f t="shared" si="32"/>
        <v>0</v>
      </c>
      <c r="BR26" s="35">
        <f t="shared" si="33"/>
        <v>22.32</v>
      </c>
      <c r="BS26" s="35">
        <f t="shared" si="34"/>
        <v>0</v>
      </c>
      <c r="BT26" s="43">
        <f t="shared" si="35"/>
        <v>0</v>
      </c>
    </row>
    <row r="27" spans="1:72">
      <c r="A27" s="9"/>
      <c r="B27" s="34"/>
      <c r="C27" s="2976" t="str">
        <f>规证整理!B35</f>
        <v>15#住宅楼</v>
      </c>
      <c r="D27" s="2211" t="s">
        <v>3145</v>
      </c>
      <c r="E27" s="16">
        <f t="shared" si="7"/>
        <v>794.89</v>
      </c>
      <c r="F27" s="32"/>
      <c r="G27" s="33">
        <f t="shared" si="8"/>
        <v>2995.77</v>
      </c>
      <c r="H27" s="20">
        <f t="shared" si="9"/>
        <v>2976.55</v>
      </c>
      <c r="I27" s="2212">
        <f>规证整理!G35</f>
        <v>1682.52</v>
      </c>
      <c r="J27" s="39"/>
      <c r="K27" s="2212">
        <f>规证整理!H35</f>
        <v>1294.03</v>
      </c>
      <c r="L27" s="39"/>
      <c r="M27" s="39"/>
      <c r="N27" s="39"/>
      <c r="O27" s="39"/>
      <c r="P27" s="39"/>
      <c r="Q27" s="39"/>
      <c r="R27" s="39"/>
      <c r="S27" s="39"/>
      <c r="T27" s="39"/>
      <c r="U27" s="39"/>
      <c r="V27" s="39"/>
      <c r="W27" s="39"/>
      <c r="X27" s="39"/>
      <c r="Y27" s="39"/>
      <c r="Z27" s="39"/>
      <c r="AA27" s="39"/>
      <c r="AB27" s="39"/>
      <c r="AC27" s="35">
        <f t="shared" si="10"/>
        <v>19.22</v>
      </c>
      <c r="AD27" s="40"/>
      <c r="AE27" s="40"/>
      <c r="AF27" s="40"/>
      <c r="AG27" s="40"/>
      <c r="AH27" s="40"/>
      <c r="AI27" s="40"/>
      <c r="AJ27" s="40"/>
      <c r="AK27" s="40"/>
      <c r="AL27" s="40"/>
      <c r="AM27" s="40"/>
      <c r="AN27" s="2213">
        <f>规证整理!I35</f>
        <v>19.22</v>
      </c>
      <c r="AO27" s="40"/>
      <c r="AP27" s="40"/>
      <c r="AQ27" s="40"/>
      <c r="AR27" s="40"/>
      <c r="AS27" s="40"/>
      <c r="AT27" s="41"/>
      <c r="AU27" s="2217"/>
      <c r="AV27" s="1795">
        <f t="shared" si="11"/>
        <v>0</v>
      </c>
      <c r="AW27" s="1795">
        <f t="shared" si="12"/>
        <v>0</v>
      </c>
      <c r="AX27" s="1795" t="str">
        <f t="shared" si="13"/>
        <v>15#住宅楼</v>
      </c>
      <c r="AY27" s="42">
        <f t="shared" si="14"/>
        <v>794.89</v>
      </c>
      <c r="AZ27" s="35">
        <f t="shared" si="15"/>
        <v>2995.77</v>
      </c>
      <c r="BA27" s="35">
        <f t="shared" si="16"/>
        <v>2976.55</v>
      </c>
      <c r="BB27" s="35">
        <f t="shared" si="17"/>
        <v>1682.52</v>
      </c>
      <c r="BC27" s="35">
        <f t="shared" si="18"/>
        <v>1294.03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19.22</v>
      </c>
      <c r="BM27" s="35">
        <f t="shared" si="28"/>
        <v>0</v>
      </c>
      <c r="BN27" s="35">
        <f t="shared" si="29"/>
        <v>0</v>
      </c>
      <c r="BO27" s="35">
        <f t="shared" si="30"/>
        <v>0</v>
      </c>
      <c r="BP27" s="35">
        <f t="shared" si="31"/>
        <v>0</v>
      </c>
      <c r="BQ27" s="35">
        <f t="shared" si="32"/>
        <v>0</v>
      </c>
      <c r="BR27" s="35">
        <f t="shared" si="33"/>
        <v>19.22</v>
      </c>
      <c r="BS27" s="35">
        <f t="shared" si="34"/>
        <v>0</v>
      </c>
      <c r="BT27" s="43">
        <f t="shared" si="35"/>
        <v>0</v>
      </c>
    </row>
    <row r="28" spans="1:72">
      <c r="A28" s="9"/>
      <c r="B28" s="34"/>
      <c r="C28" s="2976" t="str">
        <f>规证整理!B36</f>
        <v>16#住宅楼</v>
      </c>
      <c r="D28" s="2211" t="s">
        <v>3145</v>
      </c>
      <c r="E28" s="16">
        <f t="shared" si="7"/>
        <v>1217.6199999999999</v>
      </c>
      <c r="F28" s="32"/>
      <c r="G28" s="33">
        <f t="shared" si="8"/>
        <v>4588.9399999999996</v>
      </c>
      <c r="H28" s="20">
        <f t="shared" si="9"/>
        <v>4565.8899999999994</v>
      </c>
      <c r="I28" s="2212">
        <f>规证整理!G36</f>
        <v>2380.6799999999998</v>
      </c>
      <c r="J28" s="39"/>
      <c r="K28" s="2212">
        <f>规证整理!H36</f>
        <v>2185.21</v>
      </c>
      <c r="L28" s="39"/>
      <c r="M28" s="39"/>
      <c r="N28" s="39"/>
      <c r="O28" s="39"/>
      <c r="P28" s="39"/>
      <c r="Q28" s="39"/>
      <c r="R28" s="39"/>
      <c r="S28" s="39"/>
      <c r="T28" s="39"/>
      <c r="U28" s="39"/>
      <c r="V28" s="39"/>
      <c r="W28" s="39"/>
      <c r="X28" s="39"/>
      <c r="Y28" s="39"/>
      <c r="Z28" s="39"/>
      <c r="AA28" s="39"/>
      <c r="AB28" s="39"/>
      <c r="AC28" s="35">
        <f t="shared" si="10"/>
        <v>23.05</v>
      </c>
      <c r="AD28" s="40"/>
      <c r="AE28" s="40"/>
      <c r="AF28" s="40"/>
      <c r="AG28" s="40"/>
      <c r="AH28" s="40"/>
      <c r="AI28" s="40"/>
      <c r="AJ28" s="40"/>
      <c r="AK28" s="40"/>
      <c r="AL28" s="40"/>
      <c r="AM28" s="40"/>
      <c r="AN28" s="2213">
        <f>规证整理!I36</f>
        <v>23.05</v>
      </c>
      <c r="AO28" s="40"/>
      <c r="AP28" s="40"/>
      <c r="AQ28" s="40"/>
      <c r="AR28" s="40"/>
      <c r="AS28" s="40"/>
      <c r="AT28" s="41"/>
      <c r="AU28" s="2217"/>
      <c r="AV28" s="1795">
        <f t="shared" si="11"/>
        <v>0</v>
      </c>
      <c r="AW28" s="1795">
        <f t="shared" si="12"/>
        <v>0</v>
      </c>
      <c r="AX28" s="1795" t="str">
        <f t="shared" si="13"/>
        <v>16#住宅楼</v>
      </c>
      <c r="AY28" s="42">
        <f t="shared" si="14"/>
        <v>1217.6199999999999</v>
      </c>
      <c r="AZ28" s="35">
        <f t="shared" si="15"/>
        <v>4588.9399999999996</v>
      </c>
      <c r="BA28" s="35">
        <f t="shared" si="16"/>
        <v>4565.8899999999994</v>
      </c>
      <c r="BB28" s="35">
        <f t="shared" si="17"/>
        <v>2380.6799999999998</v>
      </c>
      <c r="BC28" s="35">
        <f t="shared" si="18"/>
        <v>2185.21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23.05</v>
      </c>
      <c r="BM28" s="35">
        <f t="shared" si="28"/>
        <v>0</v>
      </c>
      <c r="BN28" s="35">
        <f t="shared" si="29"/>
        <v>0</v>
      </c>
      <c r="BO28" s="35">
        <f t="shared" si="30"/>
        <v>0</v>
      </c>
      <c r="BP28" s="35">
        <f t="shared" si="31"/>
        <v>0</v>
      </c>
      <c r="BQ28" s="35">
        <f t="shared" si="32"/>
        <v>0</v>
      </c>
      <c r="BR28" s="35">
        <f t="shared" si="33"/>
        <v>23.05</v>
      </c>
      <c r="BS28" s="35">
        <f t="shared" si="34"/>
        <v>0</v>
      </c>
      <c r="BT28" s="43">
        <f t="shared" si="35"/>
        <v>0</v>
      </c>
    </row>
    <row r="29" spans="1:72">
      <c r="A29" s="9"/>
      <c r="B29" s="34"/>
      <c r="C29" s="2976" t="str">
        <f>规证整理!B37</f>
        <v>17#住宅楼</v>
      </c>
      <c r="D29" s="2211" t="s">
        <v>3145</v>
      </c>
      <c r="E29" s="16">
        <f t="shared" si="7"/>
        <v>1217.6199999999999</v>
      </c>
      <c r="F29" s="32"/>
      <c r="G29" s="33">
        <f t="shared" si="8"/>
        <v>4588.9399999999996</v>
      </c>
      <c r="H29" s="20">
        <f t="shared" si="9"/>
        <v>4565.8899999999994</v>
      </c>
      <c r="I29" s="2212">
        <f>规证整理!G37</f>
        <v>2380.6799999999998</v>
      </c>
      <c r="J29" s="39"/>
      <c r="K29" s="2212">
        <f>规证整理!H37</f>
        <v>2185.21</v>
      </c>
      <c r="L29" s="39"/>
      <c r="M29" s="39"/>
      <c r="N29" s="39"/>
      <c r="O29" s="39"/>
      <c r="P29" s="39"/>
      <c r="Q29" s="39"/>
      <c r="R29" s="39"/>
      <c r="S29" s="39"/>
      <c r="T29" s="39"/>
      <c r="U29" s="39"/>
      <c r="V29" s="39"/>
      <c r="W29" s="39"/>
      <c r="X29" s="39"/>
      <c r="Y29" s="39"/>
      <c r="Z29" s="39"/>
      <c r="AA29" s="39"/>
      <c r="AB29" s="39"/>
      <c r="AC29" s="35">
        <f t="shared" si="10"/>
        <v>23.05</v>
      </c>
      <c r="AD29" s="40"/>
      <c r="AE29" s="40"/>
      <c r="AF29" s="40"/>
      <c r="AG29" s="40"/>
      <c r="AH29" s="40"/>
      <c r="AI29" s="40"/>
      <c r="AJ29" s="40"/>
      <c r="AK29" s="40"/>
      <c r="AL29" s="40"/>
      <c r="AM29" s="40"/>
      <c r="AN29" s="2213">
        <f>规证整理!I37</f>
        <v>23.05</v>
      </c>
      <c r="AO29" s="40"/>
      <c r="AP29" s="40"/>
      <c r="AQ29" s="40"/>
      <c r="AR29" s="40"/>
      <c r="AS29" s="40"/>
      <c r="AT29" s="41"/>
      <c r="AU29" s="2217"/>
      <c r="AV29" s="1795">
        <f t="shared" si="11"/>
        <v>0</v>
      </c>
      <c r="AW29" s="1795">
        <f t="shared" si="12"/>
        <v>0</v>
      </c>
      <c r="AX29" s="1795" t="str">
        <f t="shared" si="13"/>
        <v>17#住宅楼</v>
      </c>
      <c r="AY29" s="42">
        <f t="shared" si="14"/>
        <v>1217.6199999999999</v>
      </c>
      <c r="AZ29" s="35">
        <f t="shared" si="15"/>
        <v>4588.9399999999996</v>
      </c>
      <c r="BA29" s="35">
        <f t="shared" si="16"/>
        <v>4565.8899999999994</v>
      </c>
      <c r="BB29" s="35">
        <f t="shared" si="17"/>
        <v>2380.6799999999998</v>
      </c>
      <c r="BC29" s="35">
        <f t="shared" si="18"/>
        <v>2185.21</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23.05</v>
      </c>
      <c r="BM29" s="35">
        <f t="shared" si="28"/>
        <v>0</v>
      </c>
      <c r="BN29" s="35">
        <f t="shared" si="29"/>
        <v>0</v>
      </c>
      <c r="BO29" s="35">
        <f t="shared" si="30"/>
        <v>0</v>
      </c>
      <c r="BP29" s="35">
        <f t="shared" si="31"/>
        <v>0</v>
      </c>
      <c r="BQ29" s="35">
        <f t="shared" si="32"/>
        <v>0</v>
      </c>
      <c r="BR29" s="35">
        <f t="shared" si="33"/>
        <v>23.05</v>
      </c>
      <c r="BS29" s="35">
        <f t="shared" si="34"/>
        <v>0</v>
      </c>
      <c r="BT29" s="43">
        <f t="shared" si="35"/>
        <v>0</v>
      </c>
    </row>
    <row r="30" spans="1:72">
      <c r="A30" s="9"/>
      <c r="B30" s="34"/>
      <c r="C30" s="2976" t="str">
        <f>规证整理!B38</f>
        <v>18#住宅楼</v>
      </c>
      <c r="D30" s="2211" t="s">
        <v>3145</v>
      </c>
      <c r="E30" s="16">
        <f t="shared" si="7"/>
        <v>845.08</v>
      </c>
      <c r="F30" s="32"/>
      <c r="G30" s="33">
        <f t="shared" si="8"/>
        <v>3184.93</v>
      </c>
      <c r="H30" s="20">
        <f t="shared" si="9"/>
        <v>3165.71</v>
      </c>
      <c r="I30" s="2212">
        <f>规证整理!G38</f>
        <v>1682.52</v>
      </c>
      <c r="J30" s="39"/>
      <c r="K30" s="2212">
        <f>规证整理!H38</f>
        <v>1483.19</v>
      </c>
      <c r="L30" s="39"/>
      <c r="M30" s="39"/>
      <c r="N30" s="39"/>
      <c r="O30" s="39"/>
      <c r="P30" s="39"/>
      <c r="Q30" s="39"/>
      <c r="R30" s="39"/>
      <c r="S30" s="39"/>
      <c r="T30" s="39"/>
      <c r="U30" s="39"/>
      <c r="V30" s="39"/>
      <c r="W30" s="39"/>
      <c r="X30" s="39"/>
      <c r="Y30" s="39"/>
      <c r="Z30" s="39"/>
      <c r="AA30" s="39"/>
      <c r="AB30" s="39"/>
      <c r="AC30" s="35">
        <f t="shared" si="10"/>
        <v>19.22</v>
      </c>
      <c r="AD30" s="40"/>
      <c r="AE30" s="40"/>
      <c r="AF30" s="40"/>
      <c r="AG30" s="40"/>
      <c r="AH30" s="40"/>
      <c r="AI30" s="40"/>
      <c r="AJ30" s="40"/>
      <c r="AK30" s="40"/>
      <c r="AL30" s="40"/>
      <c r="AM30" s="40"/>
      <c r="AN30" s="2213">
        <f>规证整理!I38</f>
        <v>19.22</v>
      </c>
      <c r="AO30" s="40"/>
      <c r="AP30" s="40"/>
      <c r="AQ30" s="40"/>
      <c r="AR30" s="40"/>
      <c r="AS30" s="40"/>
      <c r="AT30" s="41"/>
      <c r="AU30" s="2217"/>
      <c r="AV30" s="1795">
        <f t="shared" si="11"/>
        <v>0</v>
      </c>
      <c r="AW30" s="1795">
        <f t="shared" si="12"/>
        <v>0</v>
      </c>
      <c r="AX30" s="1795" t="str">
        <f t="shared" si="13"/>
        <v>18#住宅楼</v>
      </c>
      <c r="AY30" s="42">
        <f t="shared" si="14"/>
        <v>845.08</v>
      </c>
      <c r="AZ30" s="35">
        <f t="shared" si="15"/>
        <v>3184.93</v>
      </c>
      <c r="BA30" s="35">
        <f t="shared" si="16"/>
        <v>3165.71</v>
      </c>
      <c r="BB30" s="35">
        <f t="shared" si="17"/>
        <v>1682.52</v>
      </c>
      <c r="BC30" s="35">
        <f t="shared" si="18"/>
        <v>1483.19</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19.22</v>
      </c>
      <c r="BM30" s="35">
        <f t="shared" si="28"/>
        <v>0</v>
      </c>
      <c r="BN30" s="35">
        <f t="shared" si="29"/>
        <v>0</v>
      </c>
      <c r="BO30" s="35">
        <f t="shared" si="30"/>
        <v>0</v>
      </c>
      <c r="BP30" s="35">
        <f t="shared" si="31"/>
        <v>0</v>
      </c>
      <c r="BQ30" s="35">
        <f t="shared" si="32"/>
        <v>0</v>
      </c>
      <c r="BR30" s="35">
        <f t="shared" si="33"/>
        <v>19.22</v>
      </c>
      <c r="BS30" s="35">
        <f t="shared" si="34"/>
        <v>0</v>
      </c>
      <c r="BT30" s="43">
        <f t="shared" si="35"/>
        <v>0</v>
      </c>
    </row>
    <row r="31" spans="1:72">
      <c r="A31" s="9"/>
      <c r="B31" s="34"/>
      <c r="C31" s="2976" t="str">
        <f>规证整理!B39</f>
        <v>19#住宅楼</v>
      </c>
      <c r="D31" s="2211" t="s">
        <v>3145</v>
      </c>
      <c r="E31" s="16">
        <f t="shared" si="7"/>
        <v>791.66</v>
      </c>
      <c r="F31" s="32"/>
      <c r="G31" s="33">
        <f t="shared" si="8"/>
        <v>2983.6</v>
      </c>
      <c r="H31" s="20">
        <f t="shared" si="9"/>
        <v>2964.38</v>
      </c>
      <c r="I31" s="2212">
        <f>规证整理!G39</f>
        <v>1682.52</v>
      </c>
      <c r="J31" s="39"/>
      <c r="K31" s="2212">
        <f>规证整理!H39</f>
        <v>1281.8599999999999</v>
      </c>
      <c r="L31" s="39"/>
      <c r="M31" s="39"/>
      <c r="N31" s="39"/>
      <c r="O31" s="39"/>
      <c r="P31" s="39"/>
      <c r="Q31" s="39"/>
      <c r="R31" s="39"/>
      <c r="S31" s="39"/>
      <c r="T31" s="39"/>
      <c r="U31" s="39"/>
      <c r="V31" s="39"/>
      <c r="W31" s="39"/>
      <c r="X31" s="39"/>
      <c r="Y31" s="39"/>
      <c r="Z31" s="39"/>
      <c r="AA31" s="39"/>
      <c r="AB31" s="39"/>
      <c r="AC31" s="35">
        <f t="shared" si="10"/>
        <v>19.22</v>
      </c>
      <c r="AD31" s="40"/>
      <c r="AE31" s="40"/>
      <c r="AF31" s="40"/>
      <c r="AG31" s="40"/>
      <c r="AH31" s="40"/>
      <c r="AI31" s="40"/>
      <c r="AJ31" s="40"/>
      <c r="AK31" s="40"/>
      <c r="AL31" s="40"/>
      <c r="AM31" s="40"/>
      <c r="AN31" s="2213">
        <f>规证整理!I39</f>
        <v>19.22</v>
      </c>
      <c r="AO31" s="40"/>
      <c r="AP31" s="40"/>
      <c r="AQ31" s="40"/>
      <c r="AR31" s="40"/>
      <c r="AS31" s="40"/>
      <c r="AT31" s="41"/>
      <c r="AU31" s="2217"/>
      <c r="AV31" s="1795">
        <f t="shared" si="11"/>
        <v>0</v>
      </c>
      <c r="AW31" s="1795">
        <f t="shared" si="12"/>
        <v>0</v>
      </c>
      <c r="AX31" s="1795" t="str">
        <f t="shared" si="13"/>
        <v>19#住宅楼</v>
      </c>
      <c r="AY31" s="42">
        <f t="shared" si="14"/>
        <v>791.66</v>
      </c>
      <c r="AZ31" s="35">
        <f t="shared" si="15"/>
        <v>2983.6</v>
      </c>
      <c r="BA31" s="35">
        <f t="shared" si="16"/>
        <v>2964.38</v>
      </c>
      <c r="BB31" s="35">
        <f t="shared" si="17"/>
        <v>1682.52</v>
      </c>
      <c r="BC31" s="35">
        <f t="shared" si="18"/>
        <v>1281.8599999999999</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19.22</v>
      </c>
      <c r="BM31" s="35">
        <f t="shared" si="28"/>
        <v>0</v>
      </c>
      <c r="BN31" s="35">
        <f t="shared" si="29"/>
        <v>0</v>
      </c>
      <c r="BO31" s="35">
        <f t="shared" si="30"/>
        <v>0</v>
      </c>
      <c r="BP31" s="35">
        <f t="shared" si="31"/>
        <v>0</v>
      </c>
      <c r="BQ31" s="35">
        <f t="shared" si="32"/>
        <v>0</v>
      </c>
      <c r="BR31" s="35">
        <f t="shared" si="33"/>
        <v>19.22</v>
      </c>
      <c r="BS31" s="35">
        <f t="shared" si="34"/>
        <v>0</v>
      </c>
      <c r="BT31" s="43">
        <f t="shared" si="35"/>
        <v>0</v>
      </c>
    </row>
    <row r="32" spans="1:72">
      <c r="A32" s="9"/>
      <c r="B32" s="34"/>
      <c r="C32" s="2976" t="str">
        <f>规证整理!B40</f>
        <v>20#住宅楼</v>
      </c>
      <c r="D32" s="2211" t="s">
        <v>3145</v>
      </c>
      <c r="E32" s="16">
        <f t="shared" si="7"/>
        <v>1176.1199999999999</v>
      </c>
      <c r="F32" s="32"/>
      <c r="G32" s="33">
        <f t="shared" si="8"/>
        <v>4432.53</v>
      </c>
      <c r="H32" s="20">
        <f t="shared" si="9"/>
        <v>4409.4799999999996</v>
      </c>
      <c r="I32" s="2212">
        <f>规证整理!G40</f>
        <v>2380.6799999999998</v>
      </c>
      <c r="J32" s="39"/>
      <c r="K32" s="2212">
        <f>规证整理!H40</f>
        <v>2028.8</v>
      </c>
      <c r="L32" s="39"/>
      <c r="M32" s="39"/>
      <c r="N32" s="39"/>
      <c r="O32" s="39"/>
      <c r="P32" s="39"/>
      <c r="Q32" s="39"/>
      <c r="R32" s="39"/>
      <c r="S32" s="39"/>
      <c r="T32" s="39"/>
      <c r="U32" s="39"/>
      <c r="V32" s="39"/>
      <c r="W32" s="39"/>
      <c r="X32" s="39"/>
      <c r="Y32" s="39"/>
      <c r="Z32" s="39"/>
      <c r="AA32" s="39"/>
      <c r="AB32" s="39"/>
      <c r="AC32" s="35">
        <f t="shared" si="10"/>
        <v>23.05</v>
      </c>
      <c r="AD32" s="40"/>
      <c r="AE32" s="40"/>
      <c r="AF32" s="40"/>
      <c r="AG32" s="40"/>
      <c r="AH32" s="40"/>
      <c r="AI32" s="40"/>
      <c r="AJ32" s="40"/>
      <c r="AK32" s="40"/>
      <c r="AL32" s="40"/>
      <c r="AM32" s="40"/>
      <c r="AN32" s="2213">
        <f>规证整理!I40</f>
        <v>23.05</v>
      </c>
      <c r="AO32" s="40"/>
      <c r="AP32" s="40"/>
      <c r="AQ32" s="40"/>
      <c r="AR32" s="40"/>
      <c r="AS32" s="40"/>
      <c r="AT32" s="41"/>
      <c r="AU32" s="2217"/>
      <c r="AV32" s="1795">
        <f t="shared" si="11"/>
        <v>0</v>
      </c>
      <c r="AW32" s="1795">
        <f t="shared" si="12"/>
        <v>0</v>
      </c>
      <c r="AX32" s="1795" t="str">
        <f t="shared" si="13"/>
        <v>20#住宅楼</v>
      </c>
      <c r="AY32" s="42">
        <f t="shared" si="14"/>
        <v>1176.1199999999999</v>
      </c>
      <c r="AZ32" s="35">
        <f t="shared" si="15"/>
        <v>4432.53</v>
      </c>
      <c r="BA32" s="35">
        <f t="shared" si="16"/>
        <v>4409.4799999999996</v>
      </c>
      <c r="BB32" s="35">
        <f t="shared" si="17"/>
        <v>2380.6799999999998</v>
      </c>
      <c r="BC32" s="35">
        <f t="shared" si="18"/>
        <v>2028.8</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23.05</v>
      </c>
      <c r="BM32" s="35">
        <f t="shared" si="28"/>
        <v>0</v>
      </c>
      <c r="BN32" s="35">
        <f t="shared" si="29"/>
        <v>0</v>
      </c>
      <c r="BO32" s="35">
        <f t="shared" si="30"/>
        <v>0</v>
      </c>
      <c r="BP32" s="35">
        <f t="shared" si="31"/>
        <v>0</v>
      </c>
      <c r="BQ32" s="35">
        <f t="shared" si="32"/>
        <v>0</v>
      </c>
      <c r="BR32" s="35">
        <f t="shared" si="33"/>
        <v>23.05</v>
      </c>
      <c r="BS32" s="35">
        <f t="shared" si="34"/>
        <v>0</v>
      </c>
      <c r="BT32" s="43">
        <f t="shared" si="35"/>
        <v>0</v>
      </c>
    </row>
    <row r="33" spans="1:72">
      <c r="A33" s="9"/>
      <c r="B33" s="34"/>
      <c r="C33" s="2976" t="str">
        <f>规证整理!B41</f>
        <v>21#住宅楼</v>
      </c>
      <c r="D33" s="2211" t="s">
        <v>3145</v>
      </c>
      <c r="E33" s="16">
        <f t="shared" si="7"/>
        <v>791.96</v>
      </c>
      <c r="F33" s="32"/>
      <c r="G33" s="33">
        <f t="shared" si="8"/>
        <v>2984.73</v>
      </c>
      <c r="H33" s="20">
        <f t="shared" si="9"/>
        <v>2965.51</v>
      </c>
      <c r="I33" s="2212">
        <f>规证整理!G41</f>
        <v>1682.52</v>
      </c>
      <c r="J33" s="39"/>
      <c r="K33" s="2212">
        <f>规证整理!H41</f>
        <v>1282.99</v>
      </c>
      <c r="L33" s="39"/>
      <c r="M33" s="39"/>
      <c r="N33" s="39"/>
      <c r="O33" s="39"/>
      <c r="P33" s="39"/>
      <c r="Q33" s="39"/>
      <c r="R33" s="39"/>
      <c r="S33" s="39"/>
      <c r="T33" s="39"/>
      <c r="U33" s="39"/>
      <c r="V33" s="39"/>
      <c r="W33" s="39"/>
      <c r="X33" s="39"/>
      <c r="Y33" s="39"/>
      <c r="Z33" s="39"/>
      <c r="AA33" s="39"/>
      <c r="AB33" s="39"/>
      <c r="AC33" s="35">
        <f t="shared" si="10"/>
        <v>19.22</v>
      </c>
      <c r="AD33" s="40"/>
      <c r="AE33" s="40"/>
      <c r="AF33" s="40"/>
      <c r="AG33" s="40"/>
      <c r="AH33" s="40"/>
      <c r="AI33" s="40"/>
      <c r="AJ33" s="40"/>
      <c r="AK33" s="40"/>
      <c r="AL33" s="40"/>
      <c r="AM33" s="40"/>
      <c r="AN33" s="2213">
        <f>规证整理!I41</f>
        <v>19.22</v>
      </c>
      <c r="AO33" s="40"/>
      <c r="AP33" s="40"/>
      <c r="AQ33" s="40"/>
      <c r="AR33" s="40"/>
      <c r="AS33" s="40"/>
      <c r="AT33" s="41"/>
      <c r="AU33" s="2217"/>
      <c r="AV33" s="1795">
        <f t="shared" si="11"/>
        <v>0</v>
      </c>
      <c r="AW33" s="1795">
        <f t="shared" si="12"/>
        <v>0</v>
      </c>
      <c r="AX33" s="1795" t="str">
        <f t="shared" si="13"/>
        <v>21#住宅楼</v>
      </c>
      <c r="AY33" s="42">
        <f t="shared" si="14"/>
        <v>791.96</v>
      </c>
      <c r="AZ33" s="35">
        <f t="shared" si="15"/>
        <v>2984.73</v>
      </c>
      <c r="BA33" s="35">
        <f t="shared" si="16"/>
        <v>2965.51</v>
      </c>
      <c r="BB33" s="35">
        <f t="shared" si="17"/>
        <v>1682.52</v>
      </c>
      <c r="BC33" s="35">
        <f t="shared" si="18"/>
        <v>1282.99</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19.22</v>
      </c>
      <c r="BM33" s="35">
        <f t="shared" si="28"/>
        <v>0</v>
      </c>
      <c r="BN33" s="35">
        <f t="shared" si="29"/>
        <v>0</v>
      </c>
      <c r="BO33" s="35">
        <f t="shared" si="30"/>
        <v>0</v>
      </c>
      <c r="BP33" s="35">
        <f t="shared" si="31"/>
        <v>0</v>
      </c>
      <c r="BQ33" s="35">
        <f t="shared" si="32"/>
        <v>0</v>
      </c>
      <c r="BR33" s="35">
        <f t="shared" si="33"/>
        <v>19.22</v>
      </c>
      <c r="BS33" s="35">
        <f t="shared" si="34"/>
        <v>0</v>
      </c>
      <c r="BT33" s="43">
        <f t="shared" si="35"/>
        <v>0</v>
      </c>
    </row>
    <row r="34" spans="1:72" ht="28.5">
      <c r="A34" s="9"/>
      <c r="B34" s="34"/>
      <c r="C34" s="2976" t="str">
        <f>规证整理!B43</f>
        <v>地下车库三期</v>
      </c>
      <c r="D34" s="2977" t="s">
        <v>3145</v>
      </c>
      <c r="E34" s="16">
        <f t="shared" si="7"/>
        <v>1114.92</v>
      </c>
      <c r="F34" s="32"/>
      <c r="G34" s="33">
        <f t="shared" si="8"/>
        <v>4201.88</v>
      </c>
      <c r="H34" s="20">
        <f t="shared" si="9"/>
        <v>4201.88</v>
      </c>
      <c r="I34" s="39"/>
      <c r="J34" s="39"/>
      <c r="K34" s="39"/>
      <c r="L34" s="39"/>
      <c r="M34" s="2212">
        <f>规证整理!J43</f>
        <v>4201.88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t="str">
        <f t="shared" si="13"/>
        <v>地下车库三期</v>
      </c>
      <c r="AY34" s="42">
        <f t="shared" si="14"/>
        <v>1114.92</v>
      </c>
      <c r="AZ34" s="35">
        <f t="shared" si="15"/>
        <v>4201.88</v>
      </c>
      <c r="BA34" s="35">
        <f t="shared" si="16"/>
        <v>4201.88</v>
      </c>
      <c r="BB34" s="35">
        <f t="shared" si="17"/>
        <v>0</v>
      </c>
      <c r="BC34" s="35">
        <f t="shared" si="18"/>
        <v>0</v>
      </c>
      <c r="BD34" s="35">
        <f t="shared" si="19"/>
        <v>4201.88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85.5">
      <c r="A35" s="9"/>
      <c r="B35" s="2976" t="str">
        <f>规证整理!A47</f>
        <v>《工程规划许可证》证号：建字第110114201600098号</v>
      </c>
      <c r="C35" s="2976" t="str">
        <f>规证整理!B51</f>
        <v>1#住宅楼</v>
      </c>
      <c r="D35" s="2977" t="s">
        <v>3145</v>
      </c>
      <c r="E35" s="16">
        <f t="shared" si="7"/>
        <v>3186.83</v>
      </c>
      <c r="F35" s="32"/>
      <c r="G35" s="33">
        <f t="shared" si="8"/>
        <v>12010.419999999955</v>
      </c>
      <c r="H35" s="20">
        <f t="shared" si="9"/>
        <v>9905.8999999999542</v>
      </c>
      <c r="I35" s="39"/>
      <c r="J35" s="39"/>
      <c r="K35" s="2212">
        <f>规证整理!I51</f>
        <v>4394.8</v>
      </c>
      <c r="L35" s="39"/>
      <c r="M35" s="39"/>
      <c r="N35" s="39"/>
      <c r="O35" s="2212">
        <f>规证整理!G51-'[1]西地块-限价房'!$J$797</f>
        <v>5511.0999999999549</v>
      </c>
      <c r="P35" s="39"/>
      <c r="Q35" s="39"/>
      <c r="R35" s="39"/>
      <c r="S35" s="39"/>
      <c r="T35" s="39"/>
      <c r="U35" s="39"/>
      <c r="V35" s="39"/>
      <c r="W35" s="39"/>
      <c r="X35" s="39"/>
      <c r="Y35" s="39"/>
      <c r="Z35" s="39"/>
      <c r="AA35" s="39"/>
      <c r="AB35" s="39"/>
      <c r="AC35" s="35">
        <f t="shared" si="10"/>
        <v>687.64</v>
      </c>
      <c r="AD35" s="2213">
        <f>规证整理!H51</f>
        <v>200.17</v>
      </c>
      <c r="AE35" s="40"/>
      <c r="AF35" s="40"/>
      <c r="AG35" s="40"/>
      <c r="AH35" s="40"/>
      <c r="AI35" s="40"/>
      <c r="AJ35" s="40"/>
      <c r="AK35" s="40"/>
      <c r="AL35" s="40"/>
      <c r="AM35" s="40"/>
      <c r="AN35" s="2213">
        <f>规证整理!J51</f>
        <v>487.47</v>
      </c>
      <c r="AO35" s="40"/>
      <c r="AP35" s="40"/>
      <c r="AQ35" s="40"/>
      <c r="AR35" s="40"/>
      <c r="AS35" s="40"/>
      <c r="AT35" s="2214">
        <f>规证整理!K51+规证整理!L51</f>
        <v>1416.88</v>
      </c>
      <c r="AU35" s="2217"/>
      <c r="AV35" s="1795">
        <f t="shared" si="11"/>
        <v>0</v>
      </c>
      <c r="AW35" s="1795" t="str">
        <f t="shared" si="12"/>
        <v>《工程规划许可证》证号：建字第110114201600098号</v>
      </c>
      <c r="AX35" s="1795" t="str">
        <f t="shared" si="13"/>
        <v>1#住宅楼</v>
      </c>
      <c r="AY35" s="42">
        <f t="shared" si="14"/>
        <v>2810.87</v>
      </c>
      <c r="AZ35" s="35">
        <f t="shared" si="15"/>
        <v>10593.539999999954</v>
      </c>
      <c r="BA35" s="35">
        <f t="shared" si="16"/>
        <v>9905.8999999999542</v>
      </c>
      <c r="BB35" s="35">
        <f t="shared" si="17"/>
        <v>0</v>
      </c>
      <c r="BC35" s="35">
        <f t="shared" si="18"/>
        <v>4394.8</v>
      </c>
      <c r="BD35" s="35">
        <f t="shared" si="19"/>
        <v>0</v>
      </c>
      <c r="BE35" s="35">
        <f t="shared" si="20"/>
        <v>5511.0999999999549</v>
      </c>
      <c r="BF35" s="35">
        <f t="shared" si="21"/>
        <v>0</v>
      </c>
      <c r="BG35" s="35">
        <f t="shared" si="22"/>
        <v>0</v>
      </c>
      <c r="BH35" s="35">
        <f t="shared" si="23"/>
        <v>0</v>
      </c>
      <c r="BI35" s="35">
        <f t="shared" si="24"/>
        <v>0</v>
      </c>
      <c r="BJ35" s="35">
        <f t="shared" si="25"/>
        <v>0</v>
      </c>
      <c r="BK35" s="35">
        <f t="shared" si="26"/>
        <v>0</v>
      </c>
      <c r="BL35" s="35">
        <f t="shared" si="27"/>
        <v>687.64</v>
      </c>
      <c r="BM35" s="35">
        <f t="shared" si="28"/>
        <v>200.17</v>
      </c>
      <c r="BN35" s="35">
        <f t="shared" si="29"/>
        <v>0</v>
      </c>
      <c r="BO35" s="35">
        <f t="shared" si="30"/>
        <v>0</v>
      </c>
      <c r="BP35" s="35">
        <f t="shared" si="31"/>
        <v>0</v>
      </c>
      <c r="BQ35" s="35">
        <f t="shared" si="32"/>
        <v>0</v>
      </c>
      <c r="BR35" s="35">
        <f t="shared" si="33"/>
        <v>487.47</v>
      </c>
      <c r="BS35" s="35">
        <f t="shared" si="34"/>
        <v>0</v>
      </c>
      <c r="BT35" s="43">
        <f t="shared" si="35"/>
        <v>0</v>
      </c>
    </row>
    <row r="36" spans="1:72">
      <c r="A36" s="9"/>
      <c r="B36" s="34"/>
      <c r="C36" s="2976" t="str">
        <f>规证整理!B52</f>
        <v>2#住宅楼</v>
      </c>
      <c r="D36" s="2977" t="s">
        <v>3145</v>
      </c>
      <c r="E36" s="16">
        <f t="shared" si="7"/>
        <v>3503.91</v>
      </c>
      <c r="F36" s="32"/>
      <c r="G36" s="33">
        <f t="shared" si="8"/>
        <v>13205.439999999971</v>
      </c>
      <c r="H36" s="20">
        <f t="shared" si="9"/>
        <v>12143.459999999972</v>
      </c>
      <c r="I36" s="39"/>
      <c r="J36" s="39"/>
      <c r="K36" s="2212">
        <f>规证整理!I52</f>
        <v>3363.33</v>
      </c>
      <c r="L36" s="39"/>
      <c r="M36" s="2212">
        <f>规证整理!N52</f>
        <v>3090.02</v>
      </c>
      <c r="N36" s="39"/>
      <c r="O36" s="2212">
        <f>规证整理!G52-'[1]西地块-限价房'!$J$798</f>
        <v>5690.1099999999715</v>
      </c>
      <c r="P36" s="39"/>
      <c r="Q36" s="39"/>
      <c r="R36" s="39"/>
      <c r="S36" s="39"/>
      <c r="T36" s="39"/>
      <c r="U36" s="39"/>
      <c r="V36" s="39"/>
      <c r="W36" s="39"/>
      <c r="X36" s="39"/>
      <c r="Y36" s="39"/>
      <c r="Z36" s="39"/>
      <c r="AA36" s="39"/>
      <c r="AB36" s="39"/>
      <c r="AC36" s="35">
        <f t="shared" si="10"/>
        <v>1061.98</v>
      </c>
      <c r="AD36" s="2213">
        <f>规证整理!H52</f>
        <v>216.51</v>
      </c>
      <c r="AE36" s="40"/>
      <c r="AF36" s="2213">
        <f>规证整理!M52</f>
        <v>259.64999999999998</v>
      </c>
      <c r="AG36" s="40"/>
      <c r="AH36" s="40"/>
      <c r="AI36" s="40"/>
      <c r="AJ36" s="40"/>
      <c r="AK36" s="40"/>
      <c r="AL36" s="40"/>
      <c r="AM36" s="40"/>
      <c r="AN36" s="2213">
        <f>规证整理!J52</f>
        <v>585.82000000000005</v>
      </c>
      <c r="AO36" s="40"/>
      <c r="AP36" s="40"/>
      <c r="AQ36" s="40"/>
      <c r="AR36" s="40"/>
      <c r="AS36" s="40"/>
      <c r="AT36" s="41"/>
      <c r="AU36" s="2217"/>
      <c r="AV36" s="1795">
        <f t="shared" si="11"/>
        <v>0</v>
      </c>
      <c r="AW36" s="1795">
        <f t="shared" si="12"/>
        <v>0</v>
      </c>
      <c r="AX36" s="1795" t="str">
        <f t="shared" si="13"/>
        <v>2#住宅楼</v>
      </c>
      <c r="AY36" s="42">
        <f t="shared" si="14"/>
        <v>3503.91</v>
      </c>
      <c r="AZ36" s="35">
        <f t="shared" si="15"/>
        <v>13205.439999999971</v>
      </c>
      <c r="BA36" s="35">
        <f t="shared" si="16"/>
        <v>12143.459999999972</v>
      </c>
      <c r="BB36" s="35">
        <f t="shared" si="17"/>
        <v>0</v>
      </c>
      <c r="BC36" s="35">
        <f t="shared" si="18"/>
        <v>3363.33</v>
      </c>
      <c r="BD36" s="35">
        <f t="shared" si="19"/>
        <v>3090.02</v>
      </c>
      <c r="BE36" s="35">
        <f t="shared" si="20"/>
        <v>5690.1099999999715</v>
      </c>
      <c r="BF36" s="35">
        <f t="shared" si="21"/>
        <v>0</v>
      </c>
      <c r="BG36" s="35">
        <f t="shared" si="22"/>
        <v>0</v>
      </c>
      <c r="BH36" s="35">
        <f t="shared" si="23"/>
        <v>0</v>
      </c>
      <c r="BI36" s="35">
        <f t="shared" si="24"/>
        <v>0</v>
      </c>
      <c r="BJ36" s="35">
        <f t="shared" si="25"/>
        <v>0</v>
      </c>
      <c r="BK36" s="35">
        <f t="shared" si="26"/>
        <v>0</v>
      </c>
      <c r="BL36" s="35">
        <f t="shared" si="27"/>
        <v>1061.98</v>
      </c>
      <c r="BM36" s="35">
        <f t="shared" si="28"/>
        <v>216.51</v>
      </c>
      <c r="BN36" s="35">
        <f t="shared" si="29"/>
        <v>259.64999999999998</v>
      </c>
      <c r="BO36" s="35">
        <f t="shared" si="30"/>
        <v>0</v>
      </c>
      <c r="BP36" s="35">
        <f t="shared" si="31"/>
        <v>0</v>
      </c>
      <c r="BQ36" s="35">
        <f t="shared" si="32"/>
        <v>0</v>
      </c>
      <c r="BR36" s="35">
        <f t="shared" si="33"/>
        <v>585.82000000000005</v>
      </c>
      <c r="BS36" s="35">
        <f t="shared" si="34"/>
        <v>0</v>
      </c>
      <c r="BT36" s="43">
        <f t="shared" si="35"/>
        <v>0</v>
      </c>
    </row>
    <row r="37" spans="1:72">
      <c r="A37" s="9"/>
      <c r="B37" s="34"/>
      <c r="C37" s="2976" t="str">
        <f>规证整理!B54</f>
        <v>22#变电所</v>
      </c>
      <c r="D37" s="2977" t="s">
        <v>3145</v>
      </c>
      <c r="E37" s="16">
        <f t="shared" si="7"/>
        <v>118.41</v>
      </c>
      <c r="F37" s="32"/>
      <c r="G37" s="33">
        <f t="shared" si="8"/>
        <v>446.27</v>
      </c>
      <c r="H37" s="20">
        <f t="shared" si="9"/>
        <v>0</v>
      </c>
      <c r="I37" s="39"/>
      <c r="J37" s="39"/>
      <c r="K37" s="39"/>
      <c r="L37" s="39"/>
      <c r="M37" s="39"/>
      <c r="N37" s="39"/>
      <c r="O37" s="39"/>
      <c r="P37" s="39"/>
      <c r="Q37" s="39"/>
      <c r="R37" s="39"/>
      <c r="S37" s="39"/>
      <c r="T37" s="39"/>
      <c r="U37" s="39"/>
      <c r="V37" s="39"/>
      <c r="W37" s="39"/>
      <c r="X37" s="39"/>
      <c r="Y37" s="39"/>
      <c r="Z37" s="39"/>
      <c r="AA37" s="39"/>
      <c r="AB37" s="39"/>
      <c r="AC37" s="35">
        <f t="shared" si="10"/>
        <v>446.27</v>
      </c>
      <c r="AD37" s="40"/>
      <c r="AE37" s="40"/>
      <c r="AF37" s="40"/>
      <c r="AG37" s="40"/>
      <c r="AH37" s="40"/>
      <c r="AI37" s="40"/>
      <c r="AJ37" s="40"/>
      <c r="AK37" s="40"/>
      <c r="AL37" s="2213">
        <f>规证整理!D54</f>
        <v>299.36</v>
      </c>
      <c r="AM37" s="2213"/>
      <c r="AN37" s="2213">
        <f>规证整理!E54</f>
        <v>146.91</v>
      </c>
      <c r="AO37" s="40"/>
      <c r="AP37" s="40"/>
      <c r="AQ37" s="40"/>
      <c r="AR37" s="40"/>
      <c r="AS37" s="40"/>
      <c r="AT37" s="41"/>
      <c r="AU37" s="2217"/>
      <c r="AV37" s="1795">
        <f t="shared" si="11"/>
        <v>0</v>
      </c>
      <c r="AW37" s="1795">
        <f t="shared" si="12"/>
        <v>0</v>
      </c>
      <c r="AX37" s="1795" t="str">
        <f t="shared" si="13"/>
        <v>22#变电所</v>
      </c>
      <c r="AY37" s="42">
        <f t="shared" si="14"/>
        <v>118.41</v>
      </c>
      <c r="AZ37" s="35">
        <f t="shared" si="15"/>
        <v>446.27</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446.27</v>
      </c>
      <c r="BM37" s="35">
        <f t="shared" si="28"/>
        <v>0</v>
      </c>
      <c r="BN37" s="35">
        <f t="shared" si="29"/>
        <v>0</v>
      </c>
      <c r="BO37" s="35">
        <f t="shared" si="30"/>
        <v>0</v>
      </c>
      <c r="BP37" s="35">
        <f t="shared" si="31"/>
        <v>0</v>
      </c>
      <c r="BQ37" s="35">
        <f t="shared" si="32"/>
        <v>299.36</v>
      </c>
      <c r="BR37" s="35">
        <f t="shared" si="33"/>
        <v>146.91</v>
      </c>
      <c r="BS37" s="35">
        <f t="shared" si="34"/>
        <v>0</v>
      </c>
      <c r="BT37" s="43">
        <f t="shared" si="35"/>
        <v>0</v>
      </c>
    </row>
    <row r="38" spans="1:72" ht="28.5">
      <c r="A38" s="9"/>
      <c r="B38" s="34"/>
      <c r="C38" s="2976" t="str">
        <f>规证整理!B55</f>
        <v>23#公共厕所</v>
      </c>
      <c r="D38" s="2977" t="s">
        <v>3145</v>
      </c>
      <c r="E38" s="16">
        <f t="shared" si="7"/>
        <v>23.6</v>
      </c>
      <c r="F38" s="32"/>
      <c r="G38" s="33">
        <f t="shared" si="8"/>
        <v>88.94</v>
      </c>
      <c r="H38" s="20">
        <f t="shared" si="9"/>
        <v>0</v>
      </c>
      <c r="I38" s="39"/>
      <c r="J38" s="39"/>
      <c r="K38" s="39"/>
      <c r="L38" s="39"/>
      <c r="M38" s="39"/>
      <c r="N38" s="39"/>
      <c r="O38" s="39"/>
      <c r="P38" s="39"/>
      <c r="Q38" s="39"/>
      <c r="R38" s="39"/>
      <c r="S38" s="39"/>
      <c r="T38" s="39"/>
      <c r="U38" s="39"/>
      <c r="V38" s="39"/>
      <c r="W38" s="39"/>
      <c r="X38" s="39"/>
      <c r="Y38" s="39"/>
      <c r="Z38" s="39"/>
      <c r="AA38" s="39"/>
      <c r="AB38" s="39"/>
      <c r="AC38" s="35">
        <f t="shared" si="10"/>
        <v>88.94</v>
      </c>
      <c r="AD38" s="40"/>
      <c r="AE38" s="40"/>
      <c r="AF38" s="40"/>
      <c r="AG38" s="40"/>
      <c r="AH38" s="40"/>
      <c r="AI38" s="40"/>
      <c r="AJ38" s="40"/>
      <c r="AK38" s="40"/>
      <c r="AL38" s="2213">
        <f>规证整理!D55</f>
        <v>88.94</v>
      </c>
      <c r="AM38" s="2213"/>
      <c r="AN38" s="2213"/>
      <c r="AO38" s="40"/>
      <c r="AP38" s="40"/>
      <c r="AQ38" s="40"/>
      <c r="AR38" s="40"/>
      <c r="AS38" s="40"/>
      <c r="AT38" s="41"/>
      <c r="AU38" s="2217"/>
      <c r="AV38" s="1795">
        <f t="shared" si="11"/>
        <v>0</v>
      </c>
      <c r="AW38" s="1795">
        <f t="shared" si="12"/>
        <v>0</v>
      </c>
      <c r="AX38" s="1795" t="str">
        <f t="shared" si="13"/>
        <v>23#公共厕所</v>
      </c>
      <c r="AY38" s="42">
        <f t="shared" si="14"/>
        <v>23.6</v>
      </c>
      <c r="AZ38" s="35">
        <f t="shared" si="15"/>
        <v>88.94</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88.94</v>
      </c>
      <c r="BM38" s="35">
        <f t="shared" si="28"/>
        <v>0</v>
      </c>
      <c r="BN38" s="35">
        <f t="shared" si="29"/>
        <v>0</v>
      </c>
      <c r="BO38" s="35">
        <f t="shared" si="30"/>
        <v>0</v>
      </c>
      <c r="BP38" s="35">
        <f t="shared" si="31"/>
        <v>0</v>
      </c>
      <c r="BQ38" s="35">
        <f t="shared" si="32"/>
        <v>88.94</v>
      </c>
      <c r="BR38" s="35">
        <f t="shared" si="33"/>
        <v>0</v>
      </c>
      <c r="BS38" s="35">
        <f t="shared" si="34"/>
        <v>0</v>
      </c>
      <c r="BT38" s="43">
        <f t="shared" si="35"/>
        <v>0</v>
      </c>
    </row>
    <row r="39" spans="1:72">
      <c r="A39" s="9"/>
      <c r="B39" s="34"/>
      <c r="C39" s="2976" t="str">
        <f>规证整理!B56</f>
        <v>地下车库</v>
      </c>
      <c r="D39" s="2977" t="s">
        <v>3145</v>
      </c>
      <c r="E39" s="16">
        <f t="shared" si="7"/>
        <v>5000.2299999999996</v>
      </c>
      <c r="F39" s="32"/>
      <c r="G39" s="33">
        <f t="shared" si="8"/>
        <v>18844.740000000002</v>
      </c>
      <c r="H39" s="20">
        <f t="shared" si="9"/>
        <v>7118.13</v>
      </c>
      <c r="I39" s="39"/>
      <c r="J39" s="39"/>
      <c r="K39" s="39"/>
      <c r="L39" s="39"/>
      <c r="M39" s="2212">
        <f>规证整理!N56</f>
        <v>7118.13</v>
      </c>
      <c r="N39" s="39"/>
      <c r="O39" s="39"/>
      <c r="P39" s="39"/>
      <c r="Q39" s="39"/>
      <c r="R39" s="39"/>
      <c r="S39" s="39"/>
      <c r="T39" s="39"/>
      <c r="U39" s="39"/>
      <c r="V39" s="39"/>
      <c r="W39" s="39"/>
      <c r="X39" s="39"/>
      <c r="Y39" s="39"/>
      <c r="Z39" s="39"/>
      <c r="AA39" s="39"/>
      <c r="AB39" s="39"/>
      <c r="AC39" s="35">
        <f t="shared" si="10"/>
        <v>916.08</v>
      </c>
      <c r="AD39" s="40"/>
      <c r="AE39" s="40"/>
      <c r="AF39" s="40"/>
      <c r="AG39" s="40"/>
      <c r="AH39" s="40"/>
      <c r="AI39" s="40"/>
      <c r="AJ39" s="40"/>
      <c r="AK39" s="40"/>
      <c r="AL39" s="40"/>
      <c r="AM39" s="40"/>
      <c r="AN39" s="2213">
        <f>规证整理!J56</f>
        <v>916.08</v>
      </c>
      <c r="AO39" s="40"/>
      <c r="AP39" s="40"/>
      <c r="AQ39" s="40"/>
      <c r="AR39" s="40"/>
      <c r="AS39" s="40"/>
      <c r="AT39" s="2214">
        <f>规证整理!K56+规证整理!L56</f>
        <v>10810.53</v>
      </c>
      <c r="AU39" s="2217"/>
      <c r="AV39" s="1795">
        <f t="shared" si="11"/>
        <v>0</v>
      </c>
      <c r="AW39" s="1795">
        <f t="shared" si="12"/>
        <v>0</v>
      </c>
      <c r="AX39" s="1795" t="str">
        <f t="shared" si="13"/>
        <v>地下车库</v>
      </c>
      <c r="AY39" s="42">
        <f t="shared" si="14"/>
        <v>2131.7800000000002</v>
      </c>
      <c r="AZ39" s="35">
        <f t="shared" si="15"/>
        <v>8034.21</v>
      </c>
      <c r="BA39" s="35">
        <f t="shared" si="16"/>
        <v>7118.13</v>
      </c>
      <c r="BB39" s="35">
        <f t="shared" si="17"/>
        <v>0</v>
      </c>
      <c r="BC39" s="35">
        <f t="shared" si="18"/>
        <v>0</v>
      </c>
      <c r="BD39" s="35">
        <f t="shared" si="19"/>
        <v>7118.13</v>
      </c>
      <c r="BE39" s="35">
        <f t="shared" si="20"/>
        <v>0</v>
      </c>
      <c r="BF39" s="35">
        <f t="shared" si="21"/>
        <v>0</v>
      </c>
      <c r="BG39" s="35">
        <f t="shared" si="22"/>
        <v>0</v>
      </c>
      <c r="BH39" s="35">
        <f t="shared" si="23"/>
        <v>0</v>
      </c>
      <c r="BI39" s="35">
        <f t="shared" si="24"/>
        <v>0</v>
      </c>
      <c r="BJ39" s="35">
        <f t="shared" si="25"/>
        <v>0</v>
      </c>
      <c r="BK39" s="35">
        <f t="shared" si="26"/>
        <v>0</v>
      </c>
      <c r="BL39" s="35">
        <f t="shared" si="27"/>
        <v>916.08</v>
      </c>
      <c r="BM39" s="35">
        <f t="shared" si="28"/>
        <v>0</v>
      </c>
      <c r="BN39" s="35">
        <f t="shared" si="29"/>
        <v>0</v>
      </c>
      <c r="BO39" s="35">
        <f t="shared" si="30"/>
        <v>0</v>
      </c>
      <c r="BP39" s="35">
        <f t="shared" si="31"/>
        <v>0</v>
      </c>
      <c r="BQ39" s="35">
        <f t="shared" si="32"/>
        <v>0</v>
      </c>
      <c r="BR39" s="35">
        <f t="shared" si="33"/>
        <v>916.08</v>
      </c>
      <c r="BS39" s="35">
        <f t="shared" si="34"/>
        <v>0</v>
      </c>
      <c r="BT39" s="43">
        <f t="shared" si="35"/>
        <v>0</v>
      </c>
    </row>
    <row r="40" spans="1:72" ht="28.5">
      <c r="A40" s="9"/>
      <c r="B40" s="34"/>
      <c r="C40" s="2976" t="s">
        <v>3157</v>
      </c>
      <c r="D40" s="2977" t="s">
        <v>3145</v>
      </c>
      <c r="E40" s="16">
        <f t="shared" si="7"/>
        <v>74.69</v>
      </c>
      <c r="F40" s="32"/>
      <c r="G40" s="33">
        <f t="shared" si="8"/>
        <v>281.49</v>
      </c>
      <c r="H40" s="20">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2214">
        <f>SUM(规证整理!C57:C61)</f>
        <v>281.49</v>
      </c>
      <c r="AU40" s="2217"/>
      <c r="AV40" s="1795">
        <f t="shared" si="11"/>
        <v>0</v>
      </c>
      <c r="AW40" s="1795">
        <f t="shared" si="12"/>
        <v>0</v>
      </c>
      <c r="AX40" s="1795" t="str">
        <f t="shared" si="13"/>
        <v>2#-6#人防出入口</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topLeftCell="C63" workbookViewId="0">
      <selection activeCell="H78" sqref="H78"/>
    </sheetView>
  </sheetViews>
  <sheetFormatPr defaultRowHeight="13.5"/>
  <cols>
    <col min="1" max="1" width="9" style="2949"/>
    <col min="2" max="2" width="19.625" style="2949" customWidth="1"/>
    <col min="3" max="3" width="13.25" style="2949" customWidth="1"/>
    <col min="4" max="4" width="10.875" style="2949" customWidth="1"/>
    <col min="5" max="5" width="10.5" style="2949" customWidth="1"/>
    <col min="6" max="6" width="9" style="1635"/>
    <col min="7" max="7" width="10.625" style="2949" customWidth="1"/>
    <col min="8" max="10" width="9" style="2949"/>
    <col min="11" max="12" width="9" style="1635"/>
    <col min="13" max="13" width="9" style="2949"/>
    <col min="14" max="14" width="15.875" style="2949" customWidth="1"/>
    <col min="15" max="16384" width="9" style="1635"/>
  </cols>
  <sheetData>
    <row r="1" spans="1:15">
      <c r="A1" s="2974" t="s">
        <v>3140</v>
      </c>
    </row>
    <row r="2" spans="1:15">
      <c r="A2" s="2961" t="s">
        <v>3137</v>
      </c>
      <c r="B2" s="2951"/>
    </row>
    <row r="3" spans="1:15">
      <c r="A3" s="3193" t="s">
        <v>3099</v>
      </c>
      <c r="B3" s="3193" t="s">
        <v>3100</v>
      </c>
      <c r="C3" s="3193" t="s">
        <v>3101</v>
      </c>
      <c r="D3" s="3192" t="s">
        <v>3102</v>
      </c>
      <c r="E3" s="3192"/>
      <c r="F3" s="3190" t="s">
        <v>3103</v>
      </c>
      <c r="G3" s="2952" t="s">
        <v>3104</v>
      </c>
      <c r="H3" s="3192" t="s">
        <v>3105</v>
      </c>
      <c r="I3" s="3192"/>
      <c r="J3" s="3192"/>
      <c r="K3" s="3192"/>
      <c r="N3" s="2981" t="s">
        <v>3181</v>
      </c>
      <c r="O3" s="1635">
        <f>D8+D22+D42</f>
        <v>42719.87</v>
      </c>
    </row>
    <row r="4" spans="1:15">
      <c r="A4" s="3193"/>
      <c r="B4" s="3193"/>
      <c r="C4" s="3193"/>
      <c r="D4" s="2952" t="s">
        <v>3104</v>
      </c>
      <c r="E4" s="2952" t="s">
        <v>3105</v>
      </c>
      <c r="F4" s="3191"/>
      <c r="G4" s="2952" t="s">
        <v>3106</v>
      </c>
      <c r="H4" s="2952" t="s">
        <v>3107</v>
      </c>
      <c r="I4" s="2952" t="s">
        <v>3108</v>
      </c>
      <c r="J4" s="2953" t="s">
        <v>3109</v>
      </c>
      <c r="K4" s="2953" t="s">
        <v>3110</v>
      </c>
      <c r="N4" s="2981" t="s">
        <v>3182</v>
      </c>
      <c r="O4" s="1635">
        <f>D11+D25+D45+D63</f>
        <v>115825</v>
      </c>
    </row>
    <row r="5" spans="1:15">
      <c r="A5" s="2952">
        <v>1</v>
      </c>
      <c r="B5" s="2952" t="s">
        <v>3111</v>
      </c>
      <c r="C5" s="2952">
        <v>4628.67</v>
      </c>
      <c r="D5" s="2952">
        <v>2431.02</v>
      </c>
      <c r="E5" s="2952">
        <v>2197.65</v>
      </c>
      <c r="G5" s="2952">
        <v>2431.02</v>
      </c>
      <c r="H5" s="2952">
        <v>2167.2600000000002</v>
      </c>
      <c r="I5" s="2952">
        <v>30.39</v>
      </c>
      <c r="J5" s="2952"/>
      <c r="K5" s="2956"/>
      <c r="N5" s="2981" t="s">
        <v>3183</v>
      </c>
      <c r="O5" s="1635">
        <f>O3/O4*'数据-基础表'!A3</f>
        <v>12970.639785337102</v>
      </c>
    </row>
    <row r="6" spans="1:15">
      <c r="A6" s="2952">
        <v>2</v>
      </c>
      <c r="B6" s="2952" t="s">
        <v>3112</v>
      </c>
      <c r="C6" s="2952">
        <v>4628.67</v>
      </c>
      <c r="D6" s="2952">
        <v>2431.02</v>
      </c>
      <c r="E6" s="2952">
        <v>2197.65</v>
      </c>
      <c r="G6" s="2952">
        <v>2431.02</v>
      </c>
      <c r="H6" s="2952">
        <v>2174.7800000000002</v>
      </c>
      <c r="I6" s="2952">
        <v>22.87</v>
      </c>
      <c r="J6" s="2952"/>
      <c r="K6" s="2956"/>
      <c r="O6" s="1635">
        <f>ROUND(O3/O5,2)</f>
        <v>3.29</v>
      </c>
    </row>
    <row r="7" spans="1:15">
      <c r="A7" s="2952">
        <v>3</v>
      </c>
      <c r="B7" s="2952" t="s">
        <v>3113</v>
      </c>
      <c r="C7" s="2952">
        <v>4628.67</v>
      </c>
      <c r="D7" s="2952">
        <v>2431.02</v>
      </c>
      <c r="E7" s="2952">
        <v>2197.65</v>
      </c>
      <c r="G7" s="2952">
        <v>2431.02</v>
      </c>
      <c r="H7" s="2952">
        <v>2167.2600000000002</v>
      </c>
      <c r="I7" s="2952">
        <v>30.39</v>
      </c>
      <c r="J7" s="2952"/>
      <c r="K7" s="2956"/>
    </row>
    <row r="8" spans="1:15">
      <c r="A8" s="3189" t="s">
        <v>3114</v>
      </c>
      <c r="B8" s="3189"/>
      <c r="C8" s="2957">
        <f>SUM(C5:C7)</f>
        <v>13886.01</v>
      </c>
      <c r="D8" s="2957">
        <f t="shared" ref="D8:E8" si="0">SUM(D5:D7)</f>
        <v>7293.0599999999995</v>
      </c>
      <c r="E8" s="2957">
        <f t="shared" si="0"/>
        <v>6592.9500000000007</v>
      </c>
      <c r="F8" s="2949"/>
      <c r="G8" s="2957">
        <f t="shared" ref="G8:I8" si="1">SUM(G5:G7)</f>
        <v>7293.0599999999995</v>
      </c>
      <c r="H8" s="2957">
        <f t="shared" si="1"/>
        <v>6509.3000000000011</v>
      </c>
      <c r="I8" s="2957">
        <f t="shared" si="1"/>
        <v>83.65</v>
      </c>
      <c r="J8" s="2952"/>
      <c r="K8" s="2952"/>
    </row>
    <row r="9" spans="1:15">
      <c r="A9" s="2952">
        <v>4</v>
      </c>
      <c r="B9" s="2952" t="s">
        <v>3115</v>
      </c>
      <c r="C9" s="2952">
        <v>4426.13</v>
      </c>
      <c r="D9" s="2952"/>
      <c r="E9" s="2952">
        <v>4426.13</v>
      </c>
      <c r="G9" s="2952"/>
      <c r="H9" s="2952"/>
      <c r="I9" s="2952"/>
      <c r="J9" s="2952">
        <v>4278.43</v>
      </c>
      <c r="K9" s="2952">
        <v>147.69999999999999</v>
      </c>
    </row>
    <row r="10" spans="1:15">
      <c r="A10" s="3189" t="s">
        <v>3114</v>
      </c>
      <c r="B10" s="3189"/>
      <c r="C10" s="2957">
        <f>C9</f>
        <v>4426.13</v>
      </c>
      <c r="D10" s="2957"/>
      <c r="E10" s="2958">
        <f t="shared" ref="E10" si="2">E9</f>
        <v>4426.13</v>
      </c>
      <c r="F10" s="2966"/>
      <c r="G10" s="2967"/>
      <c r="H10" s="2957"/>
      <c r="I10" s="2957"/>
      <c r="J10" s="2957">
        <f t="shared" ref="J10:K10" si="3">J9</f>
        <v>4278.43</v>
      </c>
      <c r="K10" s="2957">
        <f t="shared" si="3"/>
        <v>147.69999999999999</v>
      </c>
    </row>
    <row r="11" spans="1:15">
      <c r="A11" s="3189" t="s">
        <v>3098</v>
      </c>
      <c r="B11" s="3189"/>
      <c r="C11" s="2957">
        <f>C8+C10</f>
        <v>18312.14</v>
      </c>
      <c r="D11" s="2957">
        <f t="shared" ref="D11:E11" si="4">D8+D10</f>
        <v>7293.0599999999995</v>
      </c>
      <c r="E11" s="2957">
        <f t="shared" si="4"/>
        <v>11019.080000000002</v>
      </c>
      <c r="G11" s="2957">
        <f>G8+G10</f>
        <v>7293.0599999999995</v>
      </c>
      <c r="H11" s="2957">
        <f t="shared" ref="H11:K11" si="5">H8+H10</f>
        <v>6509.3000000000011</v>
      </c>
      <c r="I11" s="2957">
        <f t="shared" si="5"/>
        <v>83.65</v>
      </c>
      <c r="J11" s="2957">
        <f t="shared" si="5"/>
        <v>4278.43</v>
      </c>
      <c r="K11" s="2957">
        <f t="shared" si="5"/>
        <v>147.69999999999999</v>
      </c>
    </row>
    <row r="13" spans="1:15">
      <c r="A13" s="2974" t="s">
        <v>3141</v>
      </c>
      <c r="M13" s="1635"/>
      <c r="N13" s="1635"/>
    </row>
    <row r="14" spans="1:15">
      <c r="A14" s="2950" t="s">
        <v>3049</v>
      </c>
      <c r="B14" s="2951"/>
      <c r="M14" s="1635"/>
      <c r="N14" s="1635"/>
    </row>
    <row r="15" spans="1:15">
      <c r="A15" s="3190" t="s">
        <v>3050</v>
      </c>
      <c r="B15" s="3190" t="s">
        <v>3051</v>
      </c>
      <c r="C15" s="3190" t="s">
        <v>3052</v>
      </c>
      <c r="D15" s="3197" t="s">
        <v>3053</v>
      </c>
      <c r="E15" s="3199"/>
      <c r="F15" s="3190" t="s">
        <v>3054</v>
      </c>
      <c r="G15" s="2952" t="s">
        <v>3055</v>
      </c>
      <c r="H15" s="3197" t="s">
        <v>3056</v>
      </c>
      <c r="I15" s="3198"/>
      <c r="J15" s="3198"/>
      <c r="K15" s="3199"/>
      <c r="M15" s="1635"/>
      <c r="N15" s="1635"/>
    </row>
    <row r="16" spans="1:15">
      <c r="A16" s="3191"/>
      <c r="B16" s="3191"/>
      <c r="C16" s="3191"/>
      <c r="D16" s="2952" t="s">
        <v>3055</v>
      </c>
      <c r="E16" s="2952" t="s">
        <v>3056</v>
      </c>
      <c r="F16" s="3191"/>
      <c r="G16" s="2952" t="s">
        <v>3057</v>
      </c>
      <c r="H16" s="2952" t="s">
        <v>3058</v>
      </c>
      <c r="I16" s="2952" t="s">
        <v>3059</v>
      </c>
      <c r="J16" s="2953" t="s">
        <v>3060</v>
      </c>
      <c r="K16" s="2953" t="s">
        <v>3061</v>
      </c>
      <c r="M16" s="1635"/>
      <c r="N16" s="1635"/>
    </row>
    <row r="17" spans="1:14">
      <c r="A17" s="2952">
        <v>1</v>
      </c>
      <c r="B17" s="2952" t="s">
        <v>3062</v>
      </c>
      <c r="C17" s="2952">
        <v>4930.59</v>
      </c>
      <c r="D17" s="2952">
        <v>3517.57</v>
      </c>
      <c r="E17" s="2952">
        <v>1413.02</v>
      </c>
      <c r="F17" s="2954"/>
      <c r="G17" s="2952">
        <v>3517.57</v>
      </c>
      <c r="H17" s="2952">
        <v>1386.09</v>
      </c>
      <c r="I17" s="2955">
        <v>26.93</v>
      </c>
      <c r="J17" s="2952"/>
      <c r="K17" s="2956"/>
      <c r="M17" s="1635"/>
      <c r="N17" s="1635"/>
    </row>
    <row r="18" spans="1:14">
      <c r="A18" s="2952">
        <v>2</v>
      </c>
      <c r="B18" s="2952" t="s">
        <v>3063</v>
      </c>
      <c r="C18" s="2952">
        <v>4940.05</v>
      </c>
      <c r="D18" s="2952">
        <v>3163.92</v>
      </c>
      <c r="E18" s="2952">
        <v>1776.13</v>
      </c>
      <c r="F18" s="2954"/>
      <c r="G18" s="2952">
        <v>3163.92</v>
      </c>
      <c r="H18" s="2952">
        <v>1776.13</v>
      </c>
      <c r="I18" s="2955"/>
      <c r="J18" s="2952"/>
      <c r="K18" s="2956"/>
      <c r="M18" s="1635"/>
      <c r="N18" s="1635"/>
    </row>
    <row r="19" spans="1:14">
      <c r="A19" s="2952">
        <v>3</v>
      </c>
      <c r="B19" s="2952" t="s">
        <v>3064</v>
      </c>
      <c r="C19" s="2952">
        <v>3316.51</v>
      </c>
      <c r="D19" s="2952">
        <v>2381.88</v>
      </c>
      <c r="E19" s="2952">
        <v>934.63</v>
      </c>
      <c r="F19" s="2954"/>
      <c r="G19" s="2952">
        <v>2381.88</v>
      </c>
      <c r="H19" s="2952">
        <v>907.7</v>
      </c>
      <c r="I19" s="2955">
        <v>26.93</v>
      </c>
      <c r="J19" s="2952"/>
      <c r="K19" s="2956"/>
      <c r="M19" s="1635"/>
      <c r="N19" s="1635"/>
    </row>
    <row r="20" spans="1:14">
      <c r="A20" s="2952">
        <v>4</v>
      </c>
      <c r="B20" s="2952" t="s">
        <v>3065</v>
      </c>
      <c r="C20" s="2952">
        <v>3961.43</v>
      </c>
      <c r="D20" s="2952">
        <v>2315.8200000000002</v>
      </c>
      <c r="E20" s="2952">
        <v>1645.61</v>
      </c>
      <c r="F20" s="2954"/>
      <c r="G20" s="2952">
        <v>2315.8200000000002</v>
      </c>
      <c r="H20" s="2952">
        <v>1617.2</v>
      </c>
      <c r="I20" s="2955">
        <v>28.41</v>
      </c>
      <c r="J20" s="2952"/>
      <c r="K20" s="2956"/>
      <c r="M20" s="1635"/>
      <c r="N20" s="1635"/>
    </row>
    <row r="21" spans="1:14">
      <c r="A21" s="2952">
        <v>5</v>
      </c>
      <c r="B21" s="2952" t="s">
        <v>3066</v>
      </c>
      <c r="C21" s="2952">
        <v>3963.9</v>
      </c>
      <c r="D21" s="2952">
        <v>2315.8200000000002</v>
      </c>
      <c r="E21" s="2952">
        <v>1648.08</v>
      </c>
      <c r="F21" s="2954"/>
      <c r="G21" s="2952">
        <v>2315.8200000000002</v>
      </c>
      <c r="H21" s="2952">
        <v>1619.67</v>
      </c>
      <c r="I21" s="2955">
        <v>28.41</v>
      </c>
      <c r="J21" s="2952"/>
      <c r="K21" s="2956"/>
      <c r="M21" s="1635"/>
      <c r="N21" s="1635"/>
    </row>
    <row r="22" spans="1:14">
      <c r="A22" s="3195" t="s">
        <v>3067</v>
      </c>
      <c r="B22" s="3196"/>
      <c r="C22" s="2957">
        <f>SUM(C17:C21)</f>
        <v>21112.48</v>
      </c>
      <c r="D22" s="2958">
        <f t="shared" ref="D22:E22" si="6">SUM(D17:D21)</f>
        <v>13695.009999999998</v>
      </c>
      <c r="E22" s="2957">
        <f t="shared" si="6"/>
        <v>7417.4699999999993</v>
      </c>
      <c r="F22" s="2959"/>
      <c r="G22" s="2957">
        <f t="shared" ref="G22:I22" si="7">SUM(G17:G21)</f>
        <v>13695.009999999998</v>
      </c>
      <c r="H22" s="2957">
        <f t="shared" si="7"/>
        <v>7306.79</v>
      </c>
      <c r="I22" s="2958">
        <f t="shared" si="7"/>
        <v>110.67999999999999</v>
      </c>
      <c r="J22" s="2952"/>
      <c r="K22" s="2956"/>
      <c r="M22" s="1635"/>
      <c r="N22" s="1635"/>
    </row>
    <row r="23" spans="1:14">
      <c r="A23" s="2952">
        <v>6</v>
      </c>
      <c r="B23" s="2952" t="s">
        <v>3068</v>
      </c>
      <c r="C23" s="2952">
        <v>9044.26</v>
      </c>
      <c r="D23" s="2952"/>
      <c r="E23" s="2952">
        <v>9044.26</v>
      </c>
      <c r="F23" s="2960"/>
      <c r="G23" s="2952"/>
      <c r="H23" s="2952"/>
      <c r="I23" s="2952"/>
      <c r="J23" s="2952">
        <v>6513.05</v>
      </c>
      <c r="K23" s="2952">
        <v>2531.21</v>
      </c>
      <c r="M23" s="1635"/>
      <c r="N23" s="1635"/>
    </row>
    <row r="24" spans="1:14">
      <c r="A24" s="3195" t="s">
        <v>3069</v>
      </c>
      <c r="B24" s="3196"/>
      <c r="C24" s="2957">
        <f>C23</f>
        <v>9044.26</v>
      </c>
      <c r="D24" s="2957"/>
      <c r="E24" s="2957">
        <f>E23</f>
        <v>9044.26</v>
      </c>
      <c r="G24" s="2952"/>
      <c r="H24" s="2952"/>
      <c r="I24" s="2952"/>
      <c r="J24" s="2957">
        <f>J23</f>
        <v>6513.05</v>
      </c>
      <c r="K24" s="2957">
        <f>K23</f>
        <v>2531.21</v>
      </c>
      <c r="M24" s="1635"/>
      <c r="N24" s="1635"/>
    </row>
    <row r="25" spans="1:14">
      <c r="A25" s="3189" t="s">
        <v>3070</v>
      </c>
      <c r="B25" s="3189"/>
      <c r="C25" s="2957">
        <f>C22+C24</f>
        <v>30156.739999999998</v>
      </c>
      <c r="D25" s="2957">
        <f>D22+D24</f>
        <v>13695.009999999998</v>
      </c>
      <c r="E25" s="2957">
        <f>E22+E24</f>
        <v>16461.73</v>
      </c>
      <c r="G25" s="2957">
        <f>G22+G24</f>
        <v>13695.009999999998</v>
      </c>
      <c r="H25" s="2957">
        <f t="shared" ref="H25:K25" si="8">H22+H24</f>
        <v>7306.79</v>
      </c>
      <c r="I25" s="2957">
        <f t="shared" si="8"/>
        <v>110.67999999999999</v>
      </c>
      <c r="J25" s="2957">
        <f t="shared" si="8"/>
        <v>6513.05</v>
      </c>
      <c r="K25" s="2957">
        <f t="shared" si="8"/>
        <v>2531.21</v>
      </c>
      <c r="M25" s="1635"/>
      <c r="N25" s="1635"/>
    </row>
    <row r="27" spans="1:14">
      <c r="A27" s="2974" t="s">
        <v>3071</v>
      </c>
      <c r="M27" s="1635"/>
      <c r="N27" s="1635"/>
    </row>
    <row r="28" spans="1:14">
      <c r="A28" s="2961" t="s">
        <v>3072</v>
      </c>
      <c r="B28" s="2962"/>
      <c r="M28" s="1635"/>
      <c r="N28" s="1635"/>
    </row>
    <row r="29" spans="1:14">
      <c r="A29" s="3193" t="s">
        <v>3073</v>
      </c>
      <c r="B29" s="3193" t="s">
        <v>3074</v>
      </c>
      <c r="C29" s="3193" t="s">
        <v>3075</v>
      </c>
      <c r="D29" s="3192" t="s">
        <v>3076</v>
      </c>
      <c r="E29" s="3192"/>
      <c r="F29" s="3190" t="s">
        <v>3077</v>
      </c>
      <c r="G29" s="2952" t="s">
        <v>3078</v>
      </c>
      <c r="H29" s="3192" t="s">
        <v>3079</v>
      </c>
      <c r="I29" s="3192"/>
      <c r="J29" s="3192"/>
      <c r="K29" s="2963"/>
      <c r="M29" s="1635"/>
      <c r="N29" s="1635"/>
    </row>
    <row r="30" spans="1:14">
      <c r="A30" s="3193"/>
      <c r="B30" s="3193"/>
      <c r="C30" s="3193"/>
      <c r="D30" s="2952" t="s">
        <v>3078</v>
      </c>
      <c r="E30" s="2952" t="s">
        <v>3079</v>
      </c>
      <c r="F30" s="3191"/>
      <c r="G30" s="2952" t="s">
        <v>3080</v>
      </c>
      <c r="H30" s="2952" t="s">
        <v>3081</v>
      </c>
      <c r="I30" s="2952" t="s">
        <v>3082</v>
      </c>
      <c r="J30" s="2953" t="s">
        <v>3083</v>
      </c>
      <c r="M30" s="1635"/>
      <c r="N30" s="1635"/>
    </row>
    <row r="31" spans="1:14">
      <c r="A31" s="2955">
        <v>1</v>
      </c>
      <c r="B31" s="2952" t="s">
        <v>3084</v>
      </c>
      <c r="C31" s="2952">
        <v>2613.9299999999998</v>
      </c>
      <c r="D31" s="2952">
        <v>1549.16</v>
      </c>
      <c r="E31" s="2952">
        <v>1064.77</v>
      </c>
      <c r="G31" s="2952">
        <v>1549.16</v>
      </c>
      <c r="H31" s="2952">
        <v>1042.45</v>
      </c>
      <c r="I31" s="2955">
        <v>22.32</v>
      </c>
      <c r="J31" s="2952"/>
      <c r="M31" s="1635"/>
      <c r="N31" s="1635"/>
    </row>
    <row r="32" spans="1:14">
      <c r="A32" s="2955">
        <v>2</v>
      </c>
      <c r="B32" s="2952" t="s">
        <v>3085</v>
      </c>
      <c r="C32" s="2952">
        <v>4542.26</v>
      </c>
      <c r="D32" s="2952">
        <v>2380.6799999999998</v>
      </c>
      <c r="E32" s="2952">
        <v>2161.58</v>
      </c>
      <c r="G32" s="2952">
        <v>2380.6799999999998</v>
      </c>
      <c r="H32" s="2952">
        <v>2139.52</v>
      </c>
      <c r="I32" s="2955">
        <v>22.06</v>
      </c>
      <c r="J32" s="2952"/>
      <c r="M32" s="1635"/>
      <c r="N32" s="1635"/>
    </row>
    <row r="33" spans="1:14">
      <c r="A33" s="2955">
        <v>3</v>
      </c>
      <c r="B33" s="2952" t="s">
        <v>3086</v>
      </c>
      <c r="C33" s="2952">
        <v>4378.03</v>
      </c>
      <c r="D33" s="2952">
        <v>2380.6799999999998</v>
      </c>
      <c r="E33" s="2952">
        <v>1997.35</v>
      </c>
      <c r="G33" s="2952">
        <v>2380.6799999999998</v>
      </c>
      <c r="H33" s="2952">
        <v>1975.29</v>
      </c>
      <c r="I33" s="2955">
        <v>22.06</v>
      </c>
      <c r="J33" s="2952"/>
      <c r="M33" s="1635"/>
      <c r="N33" s="1635"/>
    </row>
    <row r="34" spans="1:14">
      <c r="A34" s="2955">
        <v>4</v>
      </c>
      <c r="B34" s="2952" t="s">
        <v>3087</v>
      </c>
      <c r="C34" s="2952">
        <v>2758.36</v>
      </c>
      <c r="D34" s="2952">
        <v>1549.16</v>
      </c>
      <c r="E34" s="2952">
        <v>1209.2</v>
      </c>
      <c r="G34" s="2952">
        <v>1549.16</v>
      </c>
      <c r="H34" s="2952">
        <v>1186.8800000000001</v>
      </c>
      <c r="I34" s="2955">
        <v>22.32</v>
      </c>
      <c r="J34" s="2952"/>
      <c r="M34" s="1635"/>
      <c r="N34" s="1635"/>
    </row>
    <row r="35" spans="1:14">
      <c r="A35" s="2955">
        <v>5</v>
      </c>
      <c r="B35" s="2952" t="s">
        <v>3088</v>
      </c>
      <c r="C35" s="2952">
        <v>2995.77</v>
      </c>
      <c r="D35" s="2952">
        <v>1682.52</v>
      </c>
      <c r="E35" s="2952">
        <v>1313.25</v>
      </c>
      <c r="G35" s="2952">
        <v>1682.52</v>
      </c>
      <c r="H35" s="2952">
        <v>1294.03</v>
      </c>
      <c r="I35" s="2955">
        <v>19.22</v>
      </c>
      <c r="J35" s="2952"/>
      <c r="M35" s="1635"/>
      <c r="N35" s="1635"/>
    </row>
    <row r="36" spans="1:14">
      <c r="A36" s="2955">
        <v>6</v>
      </c>
      <c r="B36" s="2952" t="s">
        <v>3089</v>
      </c>
      <c r="C36" s="2952">
        <v>4588.9399999999996</v>
      </c>
      <c r="D36" s="2952">
        <v>2380.6799999999998</v>
      </c>
      <c r="E36" s="2952">
        <v>2208.2600000000002</v>
      </c>
      <c r="G36" s="2952">
        <v>2380.6799999999998</v>
      </c>
      <c r="H36" s="2952">
        <v>2185.21</v>
      </c>
      <c r="I36" s="2955">
        <v>23.05</v>
      </c>
      <c r="J36" s="2952"/>
      <c r="M36" s="1635"/>
      <c r="N36" s="1635"/>
    </row>
    <row r="37" spans="1:14">
      <c r="A37" s="2955">
        <v>7</v>
      </c>
      <c r="B37" s="2952" t="s">
        <v>3090</v>
      </c>
      <c r="C37" s="2952">
        <v>4588.9399999999996</v>
      </c>
      <c r="D37" s="2952">
        <v>2380.6799999999998</v>
      </c>
      <c r="E37" s="2952">
        <v>2208.2600000000002</v>
      </c>
      <c r="G37" s="2952">
        <v>2380.6799999999998</v>
      </c>
      <c r="H37" s="2952">
        <v>2185.21</v>
      </c>
      <c r="I37" s="2955">
        <v>23.05</v>
      </c>
      <c r="J37" s="2952"/>
      <c r="M37" s="1635"/>
      <c r="N37" s="1635"/>
    </row>
    <row r="38" spans="1:14">
      <c r="A38" s="2955">
        <v>8</v>
      </c>
      <c r="B38" s="2952" t="s">
        <v>3091</v>
      </c>
      <c r="C38" s="2952">
        <v>3184.93</v>
      </c>
      <c r="D38" s="2952">
        <v>1682.52</v>
      </c>
      <c r="E38" s="2952">
        <v>1502.41</v>
      </c>
      <c r="G38" s="2952">
        <v>1682.52</v>
      </c>
      <c r="H38" s="2952">
        <v>1483.19</v>
      </c>
      <c r="I38" s="2955">
        <v>19.22</v>
      </c>
      <c r="J38" s="2952"/>
      <c r="M38" s="1635"/>
      <c r="N38" s="1635"/>
    </row>
    <row r="39" spans="1:14">
      <c r="A39" s="2955">
        <v>9</v>
      </c>
      <c r="B39" s="2952" t="s">
        <v>3092</v>
      </c>
      <c r="C39" s="2952">
        <v>2983.6</v>
      </c>
      <c r="D39" s="2952">
        <v>1682.52</v>
      </c>
      <c r="E39" s="2952">
        <v>1301.08</v>
      </c>
      <c r="G39" s="2952">
        <v>1682.52</v>
      </c>
      <c r="H39" s="2952">
        <v>1281.8599999999999</v>
      </c>
      <c r="I39" s="2955">
        <v>19.22</v>
      </c>
      <c r="J39" s="2952"/>
      <c r="M39" s="1635"/>
      <c r="N39" s="1635"/>
    </row>
    <row r="40" spans="1:14">
      <c r="A40" s="2955">
        <v>10</v>
      </c>
      <c r="B40" s="2952" t="s">
        <v>3093</v>
      </c>
      <c r="C40" s="2952">
        <v>4432.53</v>
      </c>
      <c r="D40" s="2952">
        <v>2380.6799999999998</v>
      </c>
      <c r="E40" s="2952">
        <v>2051.85</v>
      </c>
      <c r="G40" s="2952">
        <v>2380.6799999999998</v>
      </c>
      <c r="H40" s="2952">
        <v>2028.8</v>
      </c>
      <c r="I40" s="2955">
        <v>23.05</v>
      </c>
      <c r="J40" s="2952"/>
      <c r="M40" s="1635"/>
      <c r="N40" s="1635"/>
    </row>
    <row r="41" spans="1:14">
      <c r="A41" s="2955">
        <v>11</v>
      </c>
      <c r="B41" s="2952" t="s">
        <v>3094</v>
      </c>
      <c r="C41" s="2952">
        <v>2984.73</v>
      </c>
      <c r="D41" s="2952">
        <v>1682.52</v>
      </c>
      <c r="E41" s="2952">
        <v>1302.21</v>
      </c>
      <c r="G41" s="2952">
        <v>1682.52</v>
      </c>
      <c r="H41" s="2952">
        <v>1282.99</v>
      </c>
      <c r="I41" s="2955">
        <v>19.22</v>
      </c>
      <c r="J41" s="2952"/>
      <c r="M41" s="1635"/>
      <c r="N41" s="1635"/>
    </row>
    <row r="42" spans="1:14">
      <c r="A42" s="3189" t="s">
        <v>3095</v>
      </c>
      <c r="B42" s="3189"/>
      <c r="C42" s="2957">
        <f>SUM(C31:C41)</f>
        <v>40052.020000000004</v>
      </c>
      <c r="D42" s="2957">
        <f t="shared" ref="D42:I42" si="9">SUM(D31:D41)</f>
        <v>21731.800000000003</v>
      </c>
      <c r="E42" s="2957">
        <f t="shared" si="9"/>
        <v>18320.219999999998</v>
      </c>
      <c r="F42" s="2964"/>
      <c r="G42" s="2957">
        <f t="shared" si="9"/>
        <v>21731.800000000003</v>
      </c>
      <c r="H42" s="2957">
        <f t="shared" si="9"/>
        <v>18085.430000000004</v>
      </c>
      <c r="I42" s="2958">
        <f t="shared" si="9"/>
        <v>234.79000000000002</v>
      </c>
      <c r="J42" s="2957"/>
      <c r="K42" s="2964"/>
      <c r="M42" s="1635"/>
      <c r="N42" s="1635"/>
    </row>
    <row r="43" spans="1:14">
      <c r="A43" s="2965">
        <v>12</v>
      </c>
      <c r="B43" s="2965" t="s">
        <v>3096</v>
      </c>
      <c r="C43" s="2965">
        <v>4201.88</v>
      </c>
      <c r="D43" s="2965"/>
      <c r="E43" s="2965">
        <v>4201.88</v>
      </c>
      <c r="G43" s="2965"/>
      <c r="H43" s="2965"/>
      <c r="I43" s="2965"/>
      <c r="J43" s="2965">
        <v>4201.88</v>
      </c>
      <c r="M43" s="1635"/>
      <c r="N43" s="1635"/>
    </row>
    <row r="44" spans="1:14">
      <c r="A44" s="3189" t="s">
        <v>3097</v>
      </c>
      <c r="B44" s="3189"/>
      <c r="C44" s="2957">
        <f>C43</f>
        <v>4201.88</v>
      </c>
      <c r="D44" s="2952"/>
      <c r="E44" s="2957">
        <f>E43</f>
        <v>4201.88</v>
      </c>
      <c r="F44" s="2956"/>
      <c r="G44" s="2952"/>
      <c r="H44" s="2952"/>
      <c r="I44" s="2952"/>
      <c r="J44" s="2957">
        <f>J43</f>
        <v>4201.88</v>
      </c>
    </row>
    <row r="45" spans="1:14">
      <c r="A45" s="3189" t="s">
        <v>3098</v>
      </c>
      <c r="B45" s="3189"/>
      <c r="C45" s="2957">
        <f>C42+C44</f>
        <v>44253.9</v>
      </c>
      <c r="D45" s="2957">
        <f t="shared" ref="D45:E45" si="10">D42+D44</f>
        <v>21731.800000000003</v>
      </c>
      <c r="E45" s="2957">
        <f t="shared" si="10"/>
        <v>22522.1</v>
      </c>
      <c r="F45" s="2957"/>
      <c r="G45" s="2957">
        <f t="shared" ref="G45:J45" si="11">G42+G44</f>
        <v>21731.800000000003</v>
      </c>
      <c r="H45" s="2957">
        <f t="shared" si="11"/>
        <v>18085.430000000004</v>
      </c>
      <c r="I45" s="2957">
        <f t="shared" si="11"/>
        <v>234.79000000000002</v>
      </c>
      <c r="J45" s="2957">
        <f t="shared" si="11"/>
        <v>4201.88</v>
      </c>
    </row>
    <row r="46" spans="1:14">
      <c r="A46" s="2971"/>
      <c r="B46" s="2971"/>
      <c r="C46" s="2971"/>
      <c r="D46" s="2971"/>
      <c r="E46" s="2971"/>
      <c r="F46" s="2971"/>
      <c r="G46" s="2971"/>
      <c r="H46" s="2971"/>
      <c r="I46" s="2971"/>
      <c r="J46" s="2971"/>
    </row>
    <row r="47" spans="1:14">
      <c r="A47" s="2974" t="s">
        <v>3142</v>
      </c>
    </row>
    <row r="48" spans="1:14">
      <c r="A48" s="2961" t="s">
        <v>3116</v>
      </c>
      <c r="B48" s="2951"/>
    </row>
    <row r="49" spans="1:14">
      <c r="A49" s="3193" t="s">
        <v>3099</v>
      </c>
      <c r="B49" s="3193" t="s">
        <v>3100</v>
      </c>
      <c r="C49" s="3193" t="s">
        <v>3101</v>
      </c>
      <c r="D49" s="3192" t="s">
        <v>3102</v>
      </c>
      <c r="E49" s="3192"/>
      <c r="F49" s="3190" t="s">
        <v>3103</v>
      </c>
      <c r="G49" s="3192" t="s">
        <v>3104</v>
      </c>
      <c r="H49" s="3192"/>
      <c r="I49" s="3192" t="s">
        <v>3105</v>
      </c>
      <c r="J49" s="3192"/>
      <c r="K49" s="3192"/>
      <c r="L49" s="3192"/>
      <c r="M49" s="3192"/>
      <c r="N49" s="3192"/>
    </row>
    <row r="50" spans="1:14">
      <c r="A50" s="3193"/>
      <c r="B50" s="3193"/>
      <c r="C50" s="3193"/>
      <c r="D50" s="2952" t="s">
        <v>3104</v>
      </c>
      <c r="E50" s="2952" t="s">
        <v>3105</v>
      </c>
      <c r="F50" s="3191"/>
      <c r="G50" s="2952" t="s">
        <v>3117</v>
      </c>
      <c r="H50" s="2973" t="s">
        <v>3138</v>
      </c>
      <c r="I50" s="2952" t="s">
        <v>3118</v>
      </c>
      <c r="J50" s="2953" t="s">
        <v>3108</v>
      </c>
      <c r="K50" s="2953" t="s">
        <v>3119</v>
      </c>
      <c r="L50" s="2953" t="s">
        <v>3120</v>
      </c>
      <c r="M50" s="2972" t="s">
        <v>3138</v>
      </c>
      <c r="N50" s="2953" t="s">
        <v>3109</v>
      </c>
    </row>
    <row r="51" spans="1:14">
      <c r="A51" s="2952">
        <v>1</v>
      </c>
      <c r="B51" s="2952" t="s">
        <v>3121</v>
      </c>
      <c r="C51" s="2952">
        <v>40436.720000000001</v>
      </c>
      <c r="D51" s="2952">
        <v>34137.57</v>
      </c>
      <c r="E51" s="2952">
        <v>6299.15</v>
      </c>
      <c r="G51" s="2952">
        <v>33937.4</v>
      </c>
      <c r="H51" s="2952">
        <v>200.17</v>
      </c>
      <c r="I51" s="2952">
        <v>4394.8</v>
      </c>
      <c r="J51" s="2953">
        <v>487.47</v>
      </c>
      <c r="K51" s="2953">
        <v>1215.92</v>
      </c>
      <c r="L51" s="2953">
        <v>200.96</v>
      </c>
      <c r="M51" s="2952"/>
      <c r="N51" s="2952"/>
    </row>
    <row r="52" spans="1:14">
      <c r="A52" s="2952">
        <v>2</v>
      </c>
      <c r="B52" s="2952" t="s">
        <v>3122</v>
      </c>
      <c r="C52" s="2952">
        <v>45596.59</v>
      </c>
      <c r="D52" s="2952">
        <v>38297.769999999997</v>
      </c>
      <c r="E52" s="2952">
        <v>7298.82</v>
      </c>
      <c r="G52" s="2952">
        <v>38081.26</v>
      </c>
      <c r="H52" s="2952">
        <v>216.51</v>
      </c>
      <c r="I52" s="2952">
        <v>3363.33</v>
      </c>
      <c r="J52" s="2952">
        <v>585.82000000000005</v>
      </c>
      <c r="K52" s="2956"/>
      <c r="L52" s="2956"/>
      <c r="M52" s="2952">
        <v>259.64999999999998</v>
      </c>
      <c r="N52" s="2952">
        <v>3090.02</v>
      </c>
    </row>
    <row r="53" spans="1:14">
      <c r="A53" s="3189" t="s">
        <v>3114</v>
      </c>
      <c r="B53" s="3189"/>
      <c r="C53" s="2957">
        <f>C51+C52</f>
        <v>86033.31</v>
      </c>
      <c r="D53" s="2957">
        <f t="shared" ref="D53:E53" si="12">D51+D52</f>
        <v>72435.34</v>
      </c>
      <c r="E53" s="2957">
        <f t="shared" si="12"/>
        <v>13597.97</v>
      </c>
      <c r="G53" s="2957">
        <f>G51+G52</f>
        <v>72018.66</v>
      </c>
      <c r="H53" s="2957">
        <f t="shared" ref="H53:M53" si="13">H51+H52</f>
        <v>416.67999999999995</v>
      </c>
      <c r="I53" s="2957">
        <f t="shared" si="13"/>
        <v>7758.13</v>
      </c>
      <c r="J53" s="2957">
        <f t="shared" si="13"/>
        <v>1073.29</v>
      </c>
      <c r="K53" s="2957">
        <f t="shared" si="13"/>
        <v>1215.92</v>
      </c>
      <c r="L53" s="2957">
        <f t="shared" si="13"/>
        <v>200.96</v>
      </c>
      <c r="M53" s="2957">
        <f t="shared" si="13"/>
        <v>259.64999999999998</v>
      </c>
      <c r="N53" s="2957">
        <f>N51+N52</f>
        <v>3090.02</v>
      </c>
    </row>
    <row r="54" spans="1:14">
      <c r="A54" s="2952">
        <v>3</v>
      </c>
      <c r="B54" s="2952" t="s">
        <v>3123</v>
      </c>
      <c r="C54" s="2952">
        <v>446.27</v>
      </c>
      <c r="D54" s="2952">
        <v>299.36</v>
      </c>
      <c r="E54" s="2952">
        <v>146.91</v>
      </c>
      <c r="G54" s="2952"/>
      <c r="H54" s="2952"/>
      <c r="I54" s="2952"/>
      <c r="J54" s="2952"/>
      <c r="K54" s="2956"/>
      <c r="L54" s="2956"/>
      <c r="M54" s="2952"/>
      <c r="N54" s="2952"/>
    </row>
    <row r="55" spans="1:14">
      <c r="A55" s="2952">
        <v>4</v>
      </c>
      <c r="B55" s="2952" t="s">
        <v>3124</v>
      </c>
      <c r="C55" s="2952">
        <v>88.94</v>
      </c>
      <c r="D55" s="2952">
        <v>88.94</v>
      </c>
      <c r="E55" s="2952">
        <v>0</v>
      </c>
      <c r="G55" s="2952"/>
      <c r="H55" s="2952"/>
      <c r="I55" s="2952"/>
      <c r="J55" s="2952"/>
      <c r="K55" s="2956"/>
      <c r="L55" s="2956"/>
      <c r="M55" s="2952"/>
      <c r="N55" s="2952"/>
    </row>
    <row r="56" spans="1:14">
      <c r="A56" s="2952">
        <v>5</v>
      </c>
      <c r="B56" s="2952" t="s">
        <v>3125</v>
      </c>
      <c r="C56" s="2952">
        <v>18844.740000000002</v>
      </c>
      <c r="D56" s="2952">
        <v>0</v>
      </c>
      <c r="E56" s="2952">
        <v>18844.740000000002</v>
      </c>
      <c r="G56" s="2952"/>
      <c r="H56" s="2952"/>
      <c r="I56" s="2952"/>
      <c r="J56" s="2952">
        <f>220+290.06+31.25+16.34+61.58+32.14+32.25+200+32.46</f>
        <v>916.08</v>
      </c>
      <c r="K56" s="2952">
        <v>10190.19</v>
      </c>
      <c r="L56" s="2952">
        <v>620.34</v>
      </c>
      <c r="M56" s="2952"/>
      <c r="N56" s="2952">
        <v>7118.13</v>
      </c>
    </row>
    <row r="57" spans="1:14" ht="27">
      <c r="A57" s="2968">
        <v>6</v>
      </c>
      <c r="B57" s="2969" t="s">
        <v>3126</v>
      </c>
      <c r="C57" s="2968">
        <v>49.58</v>
      </c>
      <c r="D57" s="2968">
        <v>49.58</v>
      </c>
      <c r="E57" s="2968">
        <v>0</v>
      </c>
      <c r="G57" s="2952"/>
      <c r="H57" s="2952"/>
      <c r="I57" s="2952"/>
      <c r="J57" s="2952"/>
      <c r="K57" s="2956"/>
      <c r="L57" s="2956"/>
      <c r="M57" s="2952"/>
      <c r="N57" s="2952"/>
    </row>
    <row r="58" spans="1:14">
      <c r="A58" s="2968">
        <v>7</v>
      </c>
      <c r="B58" s="2969" t="s">
        <v>3127</v>
      </c>
      <c r="C58" s="2968">
        <v>53.6</v>
      </c>
      <c r="D58" s="2968">
        <f>C58</f>
        <v>53.6</v>
      </c>
      <c r="E58" s="2968">
        <v>0</v>
      </c>
      <c r="G58" s="2952"/>
      <c r="H58" s="2952"/>
      <c r="I58" s="2952"/>
      <c r="J58" s="2952"/>
      <c r="K58" s="2956"/>
      <c r="L58" s="2956"/>
      <c r="M58" s="2952"/>
      <c r="N58" s="2952"/>
    </row>
    <row r="59" spans="1:14">
      <c r="A59" s="2968">
        <v>8</v>
      </c>
      <c r="B59" s="2969" t="s">
        <v>3128</v>
      </c>
      <c r="C59" s="2968">
        <v>58.88</v>
      </c>
      <c r="D59" s="2968">
        <f>C59</f>
        <v>58.88</v>
      </c>
      <c r="E59" s="2968">
        <v>0</v>
      </c>
      <c r="G59" s="2952"/>
      <c r="H59" s="2952"/>
      <c r="I59" s="2952"/>
      <c r="J59" s="2952"/>
      <c r="K59" s="2956"/>
      <c r="L59" s="2956"/>
      <c r="M59" s="2952"/>
      <c r="N59" s="2952"/>
    </row>
    <row r="60" spans="1:14">
      <c r="A60" s="2968">
        <v>9</v>
      </c>
      <c r="B60" s="2969" t="s">
        <v>3129</v>
      </c>
      <c r="C60" s="2968">
        <v>50.89</v>
      </c>
      <c r="D60" s="2968">
        <f>C60</f>
        <v>50.89</v>
      </c>
      <c r="E60" s="2968">
        <v>0</v>
      </c>
      <c r="G60" s="2952"/>
      <c r="H60" s="2952"/>
      <c r="I60" s="2952"/>
      <c r="J60" s="2952"/>
      <c r="K60" s="2956"/>
      <c r="L60" s="2956"/>
      <c r="M60" s="2952"/>
      <c r="N60" s="2952"/>
    </row>
    <row r="61" spans="1:14">
      <c r="A61" s="2968">
        <v>10</v>
      </c>
      <c r="B61" s="2969" t="s">
        <v>3130</v>
      </c>
      <c r="C61" s="2968">
        <v>68.540000000000006</v>
      </c>
      <c r="D61" s="2968">
        <f>C61</f>
        <v>68.540000000000006</v>
      </c>
      <c r="E61" s="2968">
        <v>0</v>
      </c>
      <c r="G61" s="2952"/>
      <c r="H61" s="2952"/>
      <c r="I61" s="2952"/>
      <c r="J61" s="2952"/>
      <c r="K61" s="2956"/>
      <c r="L61" s="2956"/>
      <c r="M61" s="2952"/>
      <c r="N61" s="2952"/>
    </row>
    <row r="62" spans="1:14">
      <c r="A62" s="3189" t="s">
        <v>3095</v>
      </c>
      <c r="B62" s="3189"/>
      <c r="C62" s="2957">
        <f>SUM(C54:C61)</f>
        <v>19661.440000000002</v>
      </c>
      <c r="D62" s="2957">
        <f>SUM(D54:D61)</f>
        <v>669.79</v>
      </c>
      <c r="E62" s="2957">
        <f>SUM(E54:E61)</f>
        <v>18991.650000000001</v>
      </c>
    </row>
    <row r="63" spans="1:14">
      <c r="A63" s="3189" t="s">
        <v>3131</v>
      </c>
      <c r="B63" s="3189"/>
      <c r="C63" s="2957">
        <f>C53+C62</f>
        <v>105694.75</v>
      </c>
      <c r="D63" s="2957">
        <f t="shared" ref="D63:E63" si="14">D53+D62</f>
        <v>73105.12999999999</v>
      </c>
      <c r="E63" s="2957">
        <f t="shared" si="14"/>
        <v>32589.620000000003</v>
      </c>
    </row>
    <row r="64" spans="1:14">
      <c r="A64" s="2971"/>
      <c r="B64" s="2971"/>
      <c r="C64" s="2971"/>
      <c r="D64" s="2971"/>
      <c r="E64" s="2971"/>
    </row>
    <row r="65" spans="1:16">
      <c r="A65" s="2948" t="s">
        <v>3132</v>
      </c>
      <c r="M65" s="1635"/>
      <c r="N65" s="1635"/>
    </row>
    <row r="66" spans="1:16">
      <c r="A66" s="2961" t="s">
        <v>3133</v>
      </c>
      <c r="B66" s="2951"/>
      <c r="G66" s="3194" t="s">
        <v>3078</v>
      </c>
      <c r="H66" s="3194"/>
      <c r="I66" s="3194"/>
      <c r="J66" s="3194" t="s">
        <v>3079</v>
      </c>
      <c r="K66" s="3194"/>
      <c r="M66" s="1635"/>
      <c r="N66" s="1635"/>
    </row>
    <row r="67" spans="1:16">
      <c r="A67" s="3193" t="s">
        <v>3073</v>
      </c>
      <c r="B67" s="3193" t="s">
        <v>3074</v>
      </c>
      <c r="C67" s="3193" t="s">
        <v>3075</v>
      </c>
      <c r="D67" s="3192" t="s">
        <v>3076</v>
      </c>
      <c r="E67" s="3192"/>
      <c r="G67" s="2949" t="s">
        <v>3134</v>
      </c>
      <c r="H67" s="2949" t="s">
        <v>3135</v>
      </c>
      <c r="I67" s="2949" t="s">
        <v>3082</v>
      </c>
      <c r="J67" s="2949" t="s">
        <v>3083</v>
      </c>
      <c r="K67" s="2970" t="s">
        <v>3082</v>
      </c>
      <c r="M67" s="1635"/>
      <c r="N67" s="1635"/>
    </row>
    <row r="68" spans="1:16">
      <c r="A68" s="3193"/>
      <c r="B68" s="3193"/>
      <c r="C68" s="3193"/>
      <c r="D68" s="2952" t="s">
        <v>3078</v>
      </c>
      <c r="E68" s="2952" t="s">
        <v>3079</v>
      </c>
      <c r="G68" s="2949">
        <v>3763.72</v>
      </c>
      <c r="H68" s="2949">
        <v>13321.98</v>
      </c>
      <c r="I68" s="2949">
        <v>29.3</v>
      </c>
      <c r="J68" s="2949">
        <v>5901.01</v>
      </c>
      <c r="K68" s="2970">
        <v>767.97</v>
      </c>
      <c r="M68" s="1635"/>
      <c r="N68" s="1635"/>
    </row>
    <row r="69" spans="1:16">
      <c r="A69" s="2952">
        <v>1</v>
      </c>
      <c r="B69" s="2952" t="s">
        <v>3136</v>
      </c>
      <c r="C69" s="2952">
        <v>22973.98</v>
      </c>
      <c r="D69" s="2952">
        <v>17115</v>
      </c>
      <c r="E69" s="2952">
        <v>5858.98</v>
      </c>
      <c r="M69" s="1635"/>
      <c r="N69" s="1635"/>
    </row>
    <row r="73" spans="1:16" ht="14.25" thickBot="1"/>
    <row r="74" spans="1:16" s="3103" customFormat="1" ht="14.25" thickBot="1">
      <c r="A74" s="3181" t="s">
        <v>3397</v>
      </c>
      <c r="B74" s="3181" t="s">
        <v>3398</v>
      </c>
      <c r="C74" s="3097" t="s">
        <v>3399</v>
      </c>
      <c r="D74" s="3097" t="s">
        <v>3401</v>
      </c>
      <c r="E74" s="3181" t="s">
        <v>3403</v>
      </c>
      <c r="F74" s="3183" t="s">
        <v>3399</v>
      </c>
      <c r="G74" s="3184"/>
      <c r="H74" s="3184"/>
      <c r="I74" s="3184"/>
      <c r="J74" s="3184"/>
      <c r="K74" s="3184"/>
      <c r="L74" s="3184"/>
      <c r="M74" s="3184"/>
      <c r="N74" s="3184"/>
      <c r="O74" s="3185"/>
      <c r="P74" s="3181" t="s">
        <v>3404</v>
      </c>
    </row>
    <row r="75" spans="1:16" s="3103" customFormat="1" ht="14.25" thickBot="1">
      <c r="A75" s="3188"/>
      <c r="B75" s="3188"/>
      <c r="C75" s="3098" t="s">
        <v>3400</v>
      </c>
      <c r="D75" s="3098" t="s">
        <v>3402</v>
      </c>
      <c r="E75" s="3188"/>
      <c r="F75" s="3181" t="s">
        <v>37</v>
      </c>
      <c r="G75" s="3183" t="s">
        <v>38</v>
      </c>
      <c r="H75" s="3184"/>
      <c r="I75" s="3184"/>
      <c r="J75" s="3184"/>
      <c r="K75" s="3184"/>
      <c r="L75" s="3185"/>
      <c r="M75" s="3183" t="s">
        <v>39</v>
      </c>
      <c r="N75" s="3184"/>
      <c r="O75" s="3185"/>
      <c r="P75" s="3188"/>
    </row>
    <row r="76" spans="1:16" s="3103" customFormat="1" ht="14.25" thickBot="1">
      <c r="A76" s="3182"/>
      <c r="B76" s="3182"/>
      <c r="C76" s="3099"/>
      <c r="D76" s="3099"/>
      <c r="E76" s="3182"/>
      <c r="F76" s="3182"/>
      <c r="G76" s="3100" t="s">
        <v>40</v>
      </c>
      <c r="H76" s="3100" t="s">
        <v>3151</v>
      </c>
      <c r="I76" s="3100" t="s">
        <v>3162</v>
      </c>
      <c r="J76" s="3100" t="s">
        <v>48</v>
      </c>
      <c r="K76" s="3100" t="s">
        <v>1377</v>
      </c>
      <c r="L76" s="3100" t="s">
        <v>27</v>
      </c>
      <c r="M76" s="3100" t="s">
        <v>40</v>
      </c>
      <c r="N76" s="3100" t="s">
        <v>3405</v>
      </c>
      <c r="O76" s="3100" t="s">
        <v>3406</v>
      </c>
      <c r="P76" s="3182"/>
    </row>
    <row r="77" spans="1:16" s="3103" customFormat="1" ht="100.5" thickBot="1">
      <c r="A77" s="3101">
        <v>1</v>
      </c>
      <c r="B77" s="3181" t="s">
        <v>3407</v>
      </c>
      <c r="C77" s="3100" t="s">
        <v>3408</v>
      </c>
      <c r="D77" s="3100" t="s">
        <v>3409</v>
      </c>
      <c r="E77" s="3186">
        <v>31136.97</v>
      </c>
      <c r="F77" s="3102">
        <f>G77+M77</f>
        <v>84979.76</v>
      </c>
      <c r="G77" s="3102">
        <f>SUM(H77:L77)</f>
        <v>84550.64</v>
      </c>
      <c r="H77" s="3102">
        <f>'数据-基础表'!I5</f>
        <v>40115.939999999995</v>
      </c>
      <c r="I77" s="3102">
        <f>SUM('数据-基础表'!K13:K34)</f>
        <v>29441.34</v>
      </c>
      <c r="J77" s="3102">
        <f>SUM('数据-基础表'!M13:M34)</f>
        <v>14993.36</v>
      </c>
      <c r="K77" s="3102">
        <v>0</v>
      </c>
      <c r="L77" s="3102">
        <v>0</v>
      </c>
      <c r="M77" s="3102">
        <f>SUM(N77:O77)</f>
        <v>429.12</v>
      </c>
      <c r="N77" s="3102">
        <v>0</v>
      </c>
      <c r="O77" s="3102">
        <f>SUM('数据-基础表'!AN13:AN34)</f>
        <v>429.12</v>
      </c>
      <c r="P77" s="3102"/>
    </row>
    <row r="78" spans="1:16" s="3103" customFormat="1" ht="51" thickBot="1">
      <c r="A78" s="3101">
        <v>2</v>
      </c>
      <c r="B78" s="3182"/>
      <c r="C78" s="3100" t="s">
        <v>3410</v>
      </c>
      <c r="D78" s="3100" t="s">
        <v>3411</v>
      </c>
      <c r="E78" s="3187"/>
      <c r="F78" s="3102">
        <f>G78+M78</f>
        <v>32368.399999999925</v>
      </c>
      <c r="G78" s="3102">
        <f t="shared" ref="G78:G79" si="15">SUM(H78:L78)</f>
        <v>29167.489999999925</v>
      </c>
      <c r="H78" s="3102">
        <f>'数据-基础表'!O35+'数据-基础表'!O36</f>
        <v>11201.209999999926</v>
      </c>
      <c r="I78" s="3102">
        <f>SUM('数据-基础表'!K35:K63)</f>
        <v>7758.13</v>
      </c>
      <c r="J78" s="3102">
        <f>SUM('数据-基础表'!M35:M40)</f>
        <v>10208.15</v>
      </c>
      <c r="K78" s="3102">
        <v>0</v>
      </c>
      <c r="L78" s="3102">
        <v>0</v>
      </c>
      <c r="M78" s="3102">
        <f t="shared" ref="M78:M79" si="16">SUM(N78:O78)</f>
        <v>3200.9100000000003</v>
      </c>
      <c r="N78" s="3102">
        <f>SUM('数据-基础表'!AD35:AD40)+'数据-基础表'!AF36</f>
        <v>676.32999999999993</v>
      </c>
      <c r="O78" s="3102">
        <f>SUM('数据-基础表'!AN35:AN46)+SUM('数据-基础表'!AL35:AL50)</f>
        <v>2524.5800000000004</v>
      </c>
      <c r="P78" s="3102"/>
    </row>
    <row r="79" spans="1:16" s="3103" customFormat="1" ht="26.25" customHeight="1" thickBot="1">
      <c r="A79" s="3101">
        <v>3</v>
      </c>
      <c r="B79" s="3100" t="s">
        <v>3412</v>
      </c>
      <c r="C79" s="3102" t="str">
        <f>A47</f>
        <v>《工程规划许可证》证号：建字第110114201600098号</v>
      </c>
      <c r="D79" s="3104" t="s">
        <v>3413</v>
      </c>
      <c r="E79" s="3102">
        <f>[2]结果表!$L$19</f>
        <v>6845.8</v>
      </c>
      <c r="F79" s="3102">
        <f>G79+M79</f>
        <v>22973.98</v>
      </c>
      <c r="G79" s="3102">
        <f t="shared" si="15"/>
        <v>22176.71</v>
      </c>
      <c r="H79" s="3102">
        <v>0</v>
      </c>
      <c r="I79" s="3102">
        <v>0</v>
      </c>
      <c r="J79" s="3102">
        <f>'[2]数据-基础表'!$M$5</f>
        <v>5091.01</v>
      </c>
      <c r="K79" s="3102">
        <f>'[2]数据-基础表'!$I$5</f>
        <v>3763.72</v>
      </c>
      <c r="L79" s="3102">
        <f>'[2]数据-基础表'!$K$5</f>
        <v>13321.98</v>
      </c>
      <c r="M79" s="3102">
        <f t="shared" si="16"/>
        <v>797.27</v>
      </c>
      <c r="N79" s="3102"/>
      <c r="O79" s="3102">
        <f>'[2]数据-基础表'!$AL$5+'[2]数据-基础表'!$AN$5</f>
        <v>797.27</v>
      </c>
      <c r="P79" s="3102"/>
    </row>
    <row r="80" spans="1:16" s="3103" customFormat="1" ht="14.25" thickBot="1">
      <c r="A80" s="3183" t="s">
        <v>37</v>
      </c>
      <c r="B80" s="3184"/>
      <c r="C80" s="3184"/>
      <c r="D80" s="3185"/>
      <c r="E80" s="3102">
        <f t="shared" ref="E80:O80" si="17">SUM(E77:E79)</f>
        <v>37982.770000000004</v>
      </c>
      <c r="F80" s="3102">
        <f t="shared" si="17"/>
        <v>140322.13999999993</v>
      </c>
      <c r="G80" s="3102">
        <f t="shared" si="17"/>
        <v>135894.83999999991</v>
      </c>
      <c r="H80" s="3102">
        <f t="shared" si="17"/>
        <v>51317.149999999921</v>
      </c>
      <c r="I80" s="3102">
        <f t="shared" si="17"/>
        <v>37199.47</v>
      </c>
      <c r="J80" s="3102">
        <f t="shared" si="17"/>
        <v>30292.520000000004</v>
      </c>
      <c r="K80" s="3102">
        <f t="shared" si="17"/>
        <v>3763.72</v>
      </c>
      <c r="L80" s="3102">
        <f t="shared" si="17"/>
        <v>13321.98</v>
      </c>
      <c r="M80" s="3102">
        <f t="shared" si="17"/>
        <v>4427.3</v>
      </c>
      <c r="N80" s="3102">
        <f t="shared" si="17"/>
        <v>676.32999999999993</v>
      </c>
      <c r="O80" s="3102">
        <f t="shared" si="17"/>
        <v>3750.9700000000003</v>
      </c>
      <c r="P80" s="3102"/>
    </row>
  </sheetData>
  <mergeCells count="54">
    <mergeCell ref="H15:K15"/>
    <mergeCell ref="A15:A16"/>
    <mergeCell ref="B15:B16"/>
    <mergeCell ref="C15:C16"/>
    <mergeCell ref="D15:E15"/>
    <mergeCell ref="F15:F16"/>
    <mergeCell ref="A45:B45"/>
    <mergeCell ref="A22:B22"/>
    <mergeCell ref="A24:B24"/>
    <mergeCell ref="A25:B25"/>
    <mergeCell ref="A29:A30"/>
    <mergeCell ref="B29:B30"/>
    <mergeCell ref="D29:E29"/>
    <mergeCell ref="F29:F30"/>
    <mergeCell ref="H29:J29"/>
    <mergeCell ref="A42:B42"/>
    <mergeCell ref="A44:B44"/>
    <mergeCell ref="C29:C30"/>
    <mergeCell ref="A63:B63"/>
    <mergeCell ref="D49:E49"/>
    <mergeCell ref="F49:F50"/>
    <mergeCell ref="G49:H49"/>
    <mergeCell ref="I49:N49"/>
    <mergeCell ref="A53:B53"/>
    <mergeCell ref="A62:B62"/>
    <mergeCell ref="A49:A50"/>
    <mergeCell ref="B49:B50"/>
    <mergeCell ref="C49:C50"/>
    <mergeCell ref="G66:I66"/>
    <mergeCell ref="J66:K66"/>
    <mergeCell ref="A67:A68"/>
    <mergeCell ref="B67:B68"/>
    <mergeCell ref="C67:C68"/>
    <mergeCell ref="D67:E67"/>
    <mergeCell ref="A11:B11"/>
    <mergeCell ref="F3:F4"/>
    <mergeCell ref="H3:K3"/>
    <mergeCell ref="A8:B8"/>
    <mergeCell ref="A10:B10"/>
    <mergeCell ref="A3:A4"/>
    <mergeCell ref="B3:B4"/>
    <mergeCell ref="C3:C4"/>
    <mergeCell ref="D3:E3"/>
    <mergeCell ref="F74:O74"/>
    <mergeCell ref="P74:P76"/>
    <mergeCell ref="F75:F76"/>
    <mergeCell ref="G75:L75"/>
    <mergeCell ref="M75:O75"/>
    <mergeCell ref="B77:B78"/>
    <mergeCell ref="A80:D80"/>
    <mergeCell ref="E77:E78"/>
    <mergeCell ref="A74:A76"/>
    <mergeCell ref="B74:B76"/>
    <mergeCell ref="E74:E76"/>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2"/>
      <c r="C1" s="1392"/>
      <c r="D1" s="1392"/>
      <c r="E1" s="1392"/>
      <c r="F1" s="1392"/>
      <c r="G1" s="1392"/>
      <c r="H1" s="1392"/>
      <c r="I1" s="1392"/>
      <c r="J1" s="1392"/>
      <c r="K1" s="1392"/>
      <c r="L1" s="1392"/>
      <c r="M1" s="1392"/>
      <c r="N1" s="1392"/>
      <c r="O1" s="1392"/>
      <c r="P1" s="1392"/>
    </row>
    <row r="2" spans="1:16" ht="15">
      <c r="A2" s="3209" t="s">
        <v>1933</v>
      </c>
      <c r="B2" s="3209"/>
      <c r="C2" s="3209"/>
      <c r="D2" s="967" t="s">
        <v>1909</v>
      </c>
      <c r="E2" s="2225" t="s">
        <v>1910</v>
      </c>
      <c r="F2" s="1392"/>
      <c r="G2" s="2226"/>
      <c r="H2" s="2227"/>
      <c r="I2" s="2228" t="s">
        <v>1934</v>
      </c>
      <c r="J2" s="1392"/>
      <c r="K2" s="1392"/>
      <c r="L2" s="1392"/>
      <c r="M2" s="1392"/>
      <c r="N2" s="1427"/>
      <c r="O2" s="1392"/>
      <c r="P2" s="1392"/>
    </row>
    <row r="3" spans="1:16" ht="15.75" thickBot="1">
      <c r="A3" s="3210" t="s">
        <v>1907</v>
      </c>
      <c r="B3" s="3210"/>
      <c r="C3" s="3210"/>
      <c r="D3" s="46">
        <f>'数据-基础表'!AY6</f>
        <v>31136.97</v>
      </c>
      <c r="E3" s="46">
        <f>'数据-基础表'!AZ5</f>
        <v>117348.15999999993</v>
      </c>
      <c r="F3" s="1392"/>
      <c r="G3" s="1399"/>
      <c r="H3" s="1247" t="s">
        <v>1908</v>
      </c>
      <c r="I3" s="55">
        <f>ROUND('数据-基础表'!B3/'数据-基础表'!A3,2)</f>
        <v>3.77</v>
      </c>
      <c r="J3" s="1392"/>
      <c r="K3" s="1392"/>
      <c r="L3" s="1392"/>
      <c r="M3" s="1392"/>
      <c r="N3" s="1427"/>
      <c r="O3" s="1392"/>
      <c r="P3" s="1392"/>
    </row>
    <row r="4" spans="1:16" ht="15">
      <c r="A4" s="3211"/>
      <c r="B4" s="3212"/>
      <c r="C4" s="3213"/>
      <c r="D4" s="2229" t="s">
        <v>1909</v>
      </c>
      <c r="E4" s="2230" t="s">
        <v>1910</v>
      </c>
      <c r="F4" s="1392"/>
      <c r="G4" s="2231" t="s">
        <v>1935</v>
      </c>
      <c r="H4" s="1247" t="s">
        <v>1915</v>
      </c>
      <c r="I4" s="55">
        <f>ROUND(SUMIF('数据-基础表'!I9:AS9,"地上",'数据-基础表'!I5:AS5)/'数据-基础表'!A3,2)</f>
        <v>1.48</v>
      </c>
      <c r="J4" s="1392"/>
      <c r="K4" s="1392"/>
      <c r="L4" s="1392"/>
      <c r="M4" s="1392"/>
      <c r="N4" s="1427"/>
      <c r="O4" s="1392"/>
      <c r="P4" s="1392"/>
    </row>
    <row r="5" spans="1:16">
      <c r="A5" s="47" t="s">
        <v>1911</v>
      </c>
      <c r="B5" s="3214" t="s">
        <v>1912</v>
      </c>
      <c r="C5" s="3214"/>
      <c r="D5" s="48">
        <f>ROUND($D$3*E5/$E$3,2)</f>
        <v>13616.41</v>
      </c>
      <c r="E5" s="49">
        <f>SUMIF('数据-基础表'!$11:$11,"住宅",'数据-基础表'!$5:$5)</f>
        <v>51317.149999999921</v>
      </c>
      <c r="F5" s="1392"/>
      <c r="G5" s="1399"/>
      <c r="H5" s="1247" t="s">
        <v>1908</v>
      </c>
      <c r="I5" s="55">
        <f>ROUND(E31/D31,2)</f>
        <v>3.77</v>
      </c>
      <c r="J5" s="1392"/>
      <c r="K5" s="1392"/>
      <c r="L5" s="1392"/>
      <c r="M5" s="1392"/>
      <c r="N5" s="1392"/>
      <c r="O5" s="1392"/>
      <c r="P5" s="1392"/>
    </row>
    <row r="6" spans="1:16" ht="15" thickBot="1">
      <c r="A6" s="2232"/>
      <c r="B6" s="3214" t="s">
        <v>1913</v>
      </c>
      <c r="C6" s="3214"/>
      <c r="D6" s="48">
        <f>ROUND($D$3*E6/$E$3,2)</f>
        <v>17520.560000000001</v>
      </c>
      <c r="E6" s="49">
        <f>E3-E5</f>
        <v>66031.010000000009</v>
      </c>
      <c r="F6" s="1392"/>
      <c r="G6" s="2233" t="s">
        <v>1914</v>
      </c>
      <c r="H6" s="1399" t="s">
        <v>1915</v>
      </c>
      <c r="I6" s="939">
        <f>ROUND(F31/D31,2)</f>
        <v>1.67</v>
      </c>
      <c r="J6" s="1392"/>
      <c r="K6" s="1392"/>
      <c r="L6" s="1392"/>
      <c r="M6" s="1392"/>
      <c r="N6" s="1392"/>
      <c r="O6" s="1392"/>
      <c r="P6" s="1392"/>
    </row>
    <row r="7" spans="1:16" ht="15">
      <c r="A7" s="3206"/>
      <c r="B7" s="3207"/>
      <c r="C7" s="3208"/>
      <c r="D7" s="2229" t="s">
        <v>1909</v>
      </c>
      <c r="E7" s="2234" t="s">
        <v>1916</v>
      </c>
      <c r="F7" s="1392"/>
      <c r="G7" s="2226" t="s">
        <v>1917</v>
      </c>
      <c r="H7" s="64"/>
      <c r="I7" s="420"/>
      <c r="J7" s="1392"/>
      <c r="K7" s="1392"/>
      <c r="L7" s="1392"/>
      <c r="M7" s="1392"/>
      <c r="N7" s="1392"/>
      <c r="O7" s="1392"/>
      <c r="P7" s="1392"/>
    </row>
    <row r="8" spans="1:16">
      <c r="A8" s="47" t="s">
        <v>1918</v>
      </c>
      <c r="B8" s="50" t="s">
        <v>1919</v>
      </c>
      <c r="C8" s="48" t="s">
        <v>1920</v>
      </c>
      <c r="D8" s="48">
        <f t="shared" ref="D8:D15" si="0">ROUND($D$3*E8/$E$3,2)</f>
        <v>13616.41</v>
      </c>
      <c r="E8" s="51">
        <f>SUMIF('数据-基础表'!BB10:BK10,"地上",'数据-基础表'!BB5:BK5)</f>
        <v>51317.149999999921</v>
      </c>
      <c r="F8" s="1392"/>
      <c r="G8" s="2235"/>
      <c r="H8" s="2235"/>
      <c r="I8" s="1392"/>
      <c r="J8" s="1392"/>
      <c r="K8" s="1392"/>
      <c r="L8" s="1392"/>
      <c r="M8" s="1392"/>
      <c r="N8" s="1392"/>
      <c r="O8" s="1392"/>
      <c r="P8" s="1392"/>
    </row>
    <row r="9" spans="1:16">
      <c r="A9" s="2236"/>
      <c r="B9" s="2237"/>
      <c r="C9" s="48" t="s">
        <v>1921</v>
      </c>
      <c r="D9" s="48">
        <f t="shared" si="0"/>
        <v>0</v>
      </c>
      <c r="E9" s="52">
        <v>0</v>
      </c>
      <c r="F9" s="1392"/>
      <c r="G9" s="2235"/>
      <c r="H9" s="2235"/>
      <c r="I9" s="1392"/>
      <c r="J9" s="1392"/>
      <c r="K9" s="1392"/>
      <c r="L9" s="1392"/>
      <c r="M9" s="1392"/>
      <c r="N9" s="1392"/>
      <c r="O9" s="1392"/>
      <c r="P9" s="1392"/>
    </row>
    <row r="10" spans="1:16">
      <c r="A10" s="2236"/>
      <c r="B10" s="2237"/>
      <c r="C10" s="48" t="s">
        <v>1930</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1922</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1923</v>
      </c>
      <c r="D12" s="48">
        <f t="shared" si="0"/>
        <v>9870.4500000000007</v>
      </c>
      <c r="E12" s="51">
        <f>SUMPRODUCT(('数据-基础表'!BB10:BK10="地下")*('数据-基础表'!BB11:BK11="仓储")*('数据-基础表'!BB5:BK5))</f>
        <v>37199.47</v>
      </c>
      <c r="F12" s="1392"/>
      <c r="G12" s="2235"/>
      <c r="H12" s="2235"/>
      <c r="I12" s="1392"/>
      <c r="J12" s="1392"/>
      <c r="K12" s="1392"/>
      <c r="L12" s="1392"/>
      <c r="M12" s="1392"/>
      <c r="N12" s="1392"/>
      <c r="O12" s="1392"/>
      <c r="P12" s="1392"/>
    </row>
    <row r="13" spans="1:16">
      <c r="A13" s="2236"/>
      <c r="B13" s="2237"/>
      <c r="C13" s="48" t="s">
        <v>1924</v>
      </c>
      <c r="D13" s="48">
        <f t="shared" si="0"/>
        <v>6686.93</v>
      </c>
      <c r="E13" s="51">
        <f>SUMPRODUCT(('数据-基础表'!BB10:BK10="地下")*('数据-基础表'!BB11:BK11="车库")*('数据-基础表'!BB5:BK5))</f>
        <v>25201.510000000002</v>
      </c>
      <c r="F13" s="1392"/>
      <c r="G13" s="2235"/>
      <c r="H13" s="2235"/>
      <c r="I13" s="1392"/>
      <c r="J13" s="1392"/>
      <c r="K13" s="1392"/>
      <c r="L13" s="1392"/>
      <c r="M13" s="1392"/>
      <c r="N13" s="1392"/>
      <c r="O13" s="1392"/>
      <c r="P13" s="1392"/>
    </row>
    <row r="14" spans="1:16">
      <c r="A14" s="2236"/>
      <c r="B14" s="2237"/>
      <c r="C14" s="48" t="s">
        <v>1936</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1931</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1925</v>
      </c>
      <c r="D16" s="50">
        <f>SUM(D8:D15)</f>
        <v>30173.79</v>
      </c>
      <c r="E16" s="53">
        <f>SUM(E8:E15)</f>
        <v>113718.12999999992</v>
      </c>
      <c r="F16" s="1392"/>
      <c r="G16" s="2235"/>
      <c r="H16" s="2238" t="s">
        <v>1937</v>
      </c>
      <c r="I16" s="2239"/>
      <c r="J16" s="1392"/>
      <c r="K16" s="3203" t="s">
        <v>1937</v>
      </c>
      <c r="L16" s="3204"/>
      <c r="M16" s="3204"/>
      <c r="N16" s="3204"/>
      <c r="O16" s="3204"/>
      <c r="P16" s="3205"/>
    </row>
    <row r="17" spans="1:19" ht="15">
      <c r="A17" s="2240" t="s">
        <v>1938</v>
      </c>
      <c r="B17" s="2241" t="s">
        <v>1939</v>
      </c>
      <c r="C17" s="2242" t="s">
        <v>1940</v>
      </c>
      <c r="D17" s="2243" t="s">
        <v>1928</v>
      </c>
      <c r="E17" s="2244" t="s">
        <v>1929</v>
      </c>
      <c r="F17" s="2245"/>
      <c r="G17" s="2246"/>
      <c r="H17" s="2247" t="s">
        <v>1941</v>
      </c>
      <c r="I17" s="2248" t="s">
        <v>1926</v>
      </c>
      <c r="J17" s="1392"/>
      <c r="K17" s="3200" t="s">
        <v>1942</v>
      </c>
      <c r="L17" s="3201"/>
      <c r="M17" s="3202"/>
      <c r="N17" s="3200" t="s">
        <v>1943</v>
      </c>
      <c r="O17" s="3201"/>
      <c r="P17" s="3202"/>
      <c r="R17" s="2226" t="s">
        <v>1944</v>
      </c>
      <c r="S17" s="64"/>
    </row>
    <row r="18" spans="1:19" ht="15">
      <c r="A18" s="2236"/>
      <c r="B18" s="2249"/>
      <c r="C18" s="2250"/>
      <c r="D18" s="2251"/>
      <c r="E18" s="2252" t="s">
        <v>1945</v>
      </c>
      <c r="F18" s="2253" t="s">
        <v>1946</v>
      </c>
      <c r="G18" s="2254" t="s">
        <v>1947</v>
      </c>
      <c r="H18" s="1262" t="s">
        <v>1948</v>
      </c>
      <c r="I18" s="2255" t="s">
        <v>1949</v>
      </c>
      <c r="J18" s="1392"/>
      <c r="K18" s="1262" t="s">
        <v>1950</v>
      </c>
      <c r="L18" s="2256" t="s">
        <v>1951</v>
      </c>
      <c r="M18" s="1046" t="s">
        <v>1952</v>
      </c>
      <c r="N18" s="1262" t="s">
        <v>1950</v>
      </c>
      <c r="O18" s="2256" t="s">
        <v>1951</v>
      </c>
      <c r="P18" s="1046" t="s">
        <v>1952</v>
      </c>
      <c r="R18" s="1247" t="s">
        <v>1953</v>
      </c>
      <c r="S18" s="1247" t="s">
        <v>1954</v>
      </c>
    </row>
    <row r="19" spans="1:19">
      <c r="A19" s="2257"/>
      <c r="B19" s="50" t="s">
        <v>1927</v>
      </c>
      <c r="C19" s="2978" t="s">
        <v>3159</v>
      </c>
      <c r="D19" s="48">
        <f>ROUND($D$3*E19/$E$3,2)</f>
        <v>10644.3</v>
      </c>
      <c r="E19" s="56">
        <f t="shared" ref="E19:E26" si="1">SUM(F19:G19)</f>
        <v>40115.94</v>
      </c>
      <c r="F19" s="57">
        <f>'数据-基础表'!I13+'数据-基础表'!I14+'数据-基础表'!I15+'数据-基础表'!I17+'数据-基础表'!I18+'数据-基础表'!I19+'数据-基础表'!I20+'数据-基础表'!I21+SUM('数据-基础表'!I23:I33)</f>
        <v>40115.94</v>
      </c>
      <c r="G19" s="58"/>
      <c r="H19" s="723">
        <f>ROUND($D$3*I19/$E$3,2)</f>
        <v>276.47000000000003</v>
      </c>
      <c r="I19" s="51">
        <f t="shared" ref="I19:I26" si="2">IF($I$17="自定义",P19,M19)</f>
        <v>1041.97</v>
      </c>
      <c r="J19" s="1392"/>
      <c r="K19" s="1391">
        <f t="shared" ref="K19:K26" si="3">ROUND(E$28*E19/E$27,2)</f>
        <v>1041.97</v>
      </c>
      <c r="L19" s="1247">
        <f t="shared" ref="L19:L26" si="4">ROUND(IF(COUNTIF(C19,"*住宅*")&gt;0,E$29*E19/E$32,0),2)</f>
        <v>0</v>
      </c>
      <c r="M19" s="1403">
        <f>K19+L19</f>
        <v>1041.97</v>
      </c>
      <c r="N19" s="2258"/>
      <c r="O19" s="2259"/>
      <c r="P19" s="1403">
        <f>N19+O19</f>
        <v>0</v>
      </c>
      <c r="R19" s="1247">
        <f t="shared" ref="R19:S26" si="5">D19+H19</f>
        <v>10920.769999999999</v>
      </c>
      <c r="S19" s="1248">
        <f t="shared" si="5"/>
        <v>41157.910000000003</v>
      </c>
    </row>
    <row r="20" spans="1:19">
      <c r="A20" s="2260"/>
      <c r="B20" s="50" t="s">
        <v>1955</v>
      </c>
      <c r="C20" s="2978" t="s">
        <v>3161</v>
      </c>
      <c r="D20" s="48">
        <f t="shared" ref="D20:D26" si="6">ROUND($D$3*E20/$E$3,2)</f>
        <v>2972.11</v>
      </c>
      <c r="E20" s="56">
        <f t="shared" si="1"/>
        <v>11201.209999999926</v>
      </c>
      <c r="F20" s="57">
        <f>'数据-基础表'!O35+'数据-基础表'!O36</f>
        <v>11201.209999999926</v>
      </c>
      <c r="G20" s="58"/>
      <c r="H20" s="723">
        <f t="shared" ref="H20:H26" si="7">ROUND($D$3*I20/$E$3,2)</f>
        <v>77.2</v>
      </c>
      <c r="I20" s="51">
        <f t="shared" si="2"/>
        <v>290.94</v>
      </c>
      <c r="J20" s="1392"/>
      <c r="K20" s="1391">
        <f t="shared" si="3"/>
        <v>290.94</v>
      </c>
      <c r="L20" s="1247">
        <f t="shared" si="4"/>
        <v>0</v>
      </c>
      <c r="M20" s="1403">
        <f t="shared" ref="M20:M26" si="8">K20+L20</f>
        <v>290.94</v>
      </c>
      <c r="N20" s="2258"/>
      <c r="O20" s="2259"/>
      <c r="P20" s="1403">
        <f t="shared" ref="P20:P26" si="9">N20+O20</f>
        <v>0</v>
      </c>
      <c r="R20" s="1247">
        <f t="shared" si="5"/>
        <v>3049.31</v>
      </c>
      <c r="S20" s="1248">
        <f t="shared" si="5"/>
        <v>11492.149999999927</v>
      </c>
    </row>
    <row r="21" spans="1:19">
      <c r="A21" s="2260"/>
      <c r="B21" s="50" t="s">
        <v>1955</v>
      </c>
      <c r="C21" s="2978" t="s">
        <v>3163</v>
      </c>
      <c r="D21" s="48">
        <f t="shared" si="6"/>
        <v>2058.5300000000002</v>
      </c>
      <c r="E21" s="56">
        <f t="shared" si="1"/>
        <v>7758.13</v>
      </c>
      <c r="F21" s="57"/>
      <c r="G21" s="58">
        <f>SUM('数据-基础表'!K35:K40)</f>
        <v>7758.13</v>
      </c>
      <c r="H21" s="723">
        <f t="shared" si="7"/>
        <v>53.47</v>
      </c>
      <c r="I21" s="51">
        <f t="shared" si="2"/>
        <v>201.51</v>
      </c>
      <c r="J21" s="1392"/>
      <c r="K21" s="1391">
        <f t="shared" si="3"/>
        <v>201.51</v>
      </c>
      <c r="L21" s="1247">
        <f t="shared" si="4"/>
        <v>0</v>
      </c>
      <c r="M21" s="1403">
        <f t="shared" si="8"/>
        <v>201.51</v>
      </c>
      <c r="N21" s="2258"/>
      <c r="O21" s="2259"/>
      <c r="P21" s="1403">
        <f t="shared" si="9"/>
        <v>0</v>
      </c>
      <c r="R21" s="1247">
        <f t="shared" si="5"/>
        <v>2112</v>
      </c>
      <c r="S21" s="1248">
        <f t="shared" si="5"/>
        <v>7959.64</v>
      </c>
    </row>
    <row r="22" spans="1:19">
      <c r="A22" s="2260"/>
      <c r="B22" s="50" t="s">
        <v>1955</v>
      </c>
      <c r="C22" s="2979" t="s">
        <v>3164</v>
      </c>
      <c r="D22" s="48">
        <f t="shared" si="6"/>
        <v>2708.61</v>
      </c>
      <c r="E22" s="56">
        <f t="shared" si="1"/>
        <v>10208.15</v>
      </c>
      <c r="F22" s="61"/>
      <c r="G22" s="62">
        <f>'数据-基础表'!M36+'数据-基础表'!M39</f>
        <v>10208.15</v>
      </c>
      <c r="H22" s="723">
        <f t="shared" si="7"/>
        <v>70.349999999999994</v>
      </c>
      <c r="I22" s="51">
        <f t="shared" si="2"/>
        <v>265.14999999999998</v>
      </c>
      <c r="J22" s="1392"/>
      <c r="K22" s="1391">
        <f t="shared" si="3"/>
        <v>265.14999999999998</v>
      </c>
      <c r="L22" s="1247">
        <f t="shared" si="4"/>
        <v>0</v>
      </c>
      <c r="M22" s="1403">
        <f t="shared" si="8"/>
        <v>265.14999999999998</v>
      </c>
      <c r="N22" s="2258"/>
      <c r="O22" s="2259"/>
      <c r="P22" s="1403">
        <f t="shared" si="9"/>
        <v>0</v>
      </c>
      <c r="R22" s="1247">
        <f t="shared" si="5"/>
        <v>2778.96</v>
      </c>
      <c r="S22" s="1248">
        <f t="shared" si="5"/>
        <v>10473.299999999999</v>
      </c>
    </row>
    <row r="23" spans="1:19">
      <c r="A23" s="2260"/>
      <c r="B23" s="50" t="s">
        <v>1955</v>
      </c>
      <c r="C23" s="2979" t="s">
        <v>3361</v>
      </c>
      <c r="D23" s="48">
        <f>ROUND($D$3*E23/$E$3,2)</f>
        <v>3978.31</v>
      </c>
      <c r="E23" s="56">
        <f>SUM(F23:G23)</f>
        <v>14993.36</v>
      </c>
      <c r="F23" s="61"/>
      <c r="G23" s="62">
        <f>SUM('数据-基础表'!M13:M34)</f>
        <v>14993.36</v>
      </c>
      <c r="H23" s="723">
        <f>ROUND($D$3*I23/$E$3,2)</f>
        <v>103.33</v>
      </c>
      <c r="I23" s="51">
        <f t="shared" si="2"/>
        <v>389.44</v>
      </c>
      <c r="J23" s="1392"/>
      <c r="K23" s="1391">
        <f t="shared" si="3"/>
        <v>389.44</v>
      </c>
      <c r="L23" s="1247">
        <f t="shared" si="4"/>
        <v>0</v>
      </c>
      <c r="M23" s="1403">
        <f t="shared" si="8"/>
        <v>389.44</v>
      </c>
      <c r="N23" s="2258"/>
      <c r="O23" s="2259"/>
      <c r="P23" s="1403">
        <f t="shared" si="9"/>
        <v>0</v>
      </c>
      <c r="R23" s="1247">
        <f t="shared" si="5"/>
        <v>4081.64</v>
      </c>
      <c r="S23" s="1248">
        <f t="shared" si="5"/>
        <v>15382.800000000001</v>
      </c>
    </row>
    <row r="24" spans="1:19">
      <c r="A24" s="2260"/>
      <c r="B24" s="50" t="s">
        <v>1955</v>
      </c>
      <c r="C24" s="2979" t="s">
        <v>3394</v>
      </c>
      <c r="D24" s="48">
        <f>ROUND($D$3*E24/$E$3,2)</f>
        <v>7811.92</v>
      </c>
      <c r="E24" s="56">
        <f>SUM(F24:G24)</f>
        <v>29441.34</v>
      </c>
      <c r="F24" s="61"/>
      <c r="G24" s="62">
        <f>SUM('数据-基础表'!K13:K34)</f>
        <v>29441.34</v>
      </c>
      <c r="H24" s="723">
        <f>ROUND($D$3*I24/$E$3,2)</f>
        <v>202.91</v>
      </c>
      <c r="I24" s="51">
        <f t="shared" si="2"/>
        <v>764.71</v>
      </c>
      <c r="J24" s="1392"/>
      <c r="K24" s="1391">
        <f t="shared" si="3"/>
        <v>764.71</v>
      </c>
      <c r="L24" s="1247">
        <f t="shared" si="4"/>
        <v>0</v>
      </c>
      <c r="M24" s="1403">
        <f t="shared" si="8"/>
        <v>764.71</v>
      </c>
      <c r="N24" s="2258"/>
      <c r="O24" s="2259"/>
      <c r="P24" s="1403">
        <f t="shared" si="9"/>
        <v>0</v>
      </c>
      <c r="R24" s="1247">
        <f t="shared" si="5"/>
        <v>8014.83</v>
      </c>
      <c r="S24" s="1248">
        <f t="shared" si="5"/>
        <v>30206.05</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43.5" thickBot="1">
      <c r="A27" s="2260"/>
      <c r="B27" s="48"/>
      <c r="C27" s="2263" t="s">
        <v>1956</v>
      </c>
      <c r="D27" s="1393">
        <f>SUM(D19:D26)</f>
        <v>30173.78</v>
      </c>
      <c r="E27" s="1394">
        <f>IF(SUM(E19:E26)='数据-基础表'!BA5,SUM(E19:E26),IF(F27="地上面积有误","面积有误","地下面积有误"))</f>
        <v>113718.12999999992</v>
      </c>
      <c r="F27" s="1393">
        <f>IF(SUM(F19:F26)=E8,SUM(F19:F26),"地上面积有误")</f>
        <v>51317.149999999929</v>
      </c>
      <c r="G27" s="1395">
        <f>SUM(G19:G26)</f>
        <v>62400.979999999996</v>
      </c>
      <c r="H27" s="1396">
        <f>SUM(H19:H26)</f>
        <v>783.73</v>
      </c>
      <c r="I27" s="1397">
        <f>SUM(I19:I26)</f>
        <v>2953.7200000000003</v>
      </c>
      <c r="J27" s="1392"/>
      <c r="K27" s="1400">
        <f>SUM(K19:K26)</f>
        <v>2953.7200000000003</v>
      </c>
      <c r="L27" s="1401">
        <f>SUM(L19:L26)</f>
        <v>0</v>
      </c>
      <c r="M27" s="1404">
        <f>SUM(M19:M26)</f>
        <v>2953.7200000000003</v>
      </c>
      <c r="N27" s="1400">
        <f t="shared" ref="N27:O27" si="10">SUM(N19:N26)</f>
        <v>0</v>
      </c>
      <c r="O27" s="1401">
        <f t="shared" si="10"/>
        <v>0</v>
      </c>
      <c r="P27" s="1402">
        <f>SUM(P19:P26)</f>
        <v>0</v>
      </c>
      <c r="R27" s="1249" t="str">
        <f>IF(SUM(R19:R26)=$D$3,SUM(R19:R26),SUM(R19:R26)&amp;"误差"&amp;ROUND(SUM(R19:R26)-$D$3,2))</f>
        <v>30957.51误差-179.46</v>
      </c>
      <c r="S27" s="1247" t="str">
        <f>IF(SUM(S19:S26)=$E$3,SUM(S19:S26),SUM(S19:S26)&amp;"误差"&amp;ROUND(SUM(S19:S26)-E3,2))</f>
        <v>116671.85误差-676.31</v>
      </c>
    </row>
    <row r="28" spans="1:19">
      <c r="A28" s="2260"/>
      <c r="B28" s="50" t="s">
        <v>1957</v>
      </c>
      <c r="C28" s="1259" t="s">
        <v>1958</v>
      </c>
      <c r="D28" s="48">
        <f>ROUND($D$3*E28/$E$3,2)</f>
        <v>783.73</v>
      </c>
      <c r="E28" s="56">
        <f>SUM(F28:G28)</f>
        <v>2953.7000000000003</v>
      </c>
      <c r="F28" s="64">
        <f>'数据-基础表'!BQ5+'数据-基础表'!BS5</f>
        <v>388.3</v>
      </c>
      <c r="G28" s="65">
        <f>'数据-基础表'!BR5+'数据-基础表'!BT5</f>
        <v>2565.4</v>
      </c>
      <c r="H28" s="1392"/>
      <c r="I28" s="1392"/>
      <c r="J28" s="1392"/>
      <c r="K28" s="1392"/>
      <c r="L28" s="1392"/>
      <c r="M28" s="1392"/>
      <c r="N28" s="1392"/>
      <c r="O28" s="1392"/>
      <c r="P28" s="1392"/>
    </row>
    <row r="29" spans="1:19">
      <c r="A29" s="2260"/>
      <c r="B29" s="50" t="s">
        <v>1957</v>
      </c>
      <c r="C29" s="2264" t="s">
        <v>1959</v>
      </c>
      <c r="D29" s="48">
        <f>ROUND($D$3*E29/$E$3,2)</f>
        <v>179.46</v>
      </c>
      <c r="E29" s="56">
        <f>SUM(F29:G29)</f>
        <v>676.32999999999993</v>
      </c>
      <c r="F29" s="66">
        <f>'数据-基础表'!BM5+'数据-基础表'!BO5</f>
        <v>416.67999999999995</v>
      </c>
      <c r="G29" s="67">
        <f>'数据-基础表'!BN5+'数据-基础表'!BP5</f>
        <v>259.64999999999998</v>
      </c>
      <c r="H29" s="1392"/>
      <c r="I29" s="1392"/>
      <c r="J29" s="1392"/>
      <c r="K29" s="1392"/>
      <c r="L29" s="1392"/>
      <c r="M29" s="1392"/>
      <c r="N29" s="1392"/>
      <c r="O29" s="1392"/>
      <c r="P29" s="1392"/>
    </row>
    <row r="30" spans="1:19" ht="15">
      <c r="A30" s="2260"/>
      <c r="B30" s="50"/>
      <c r="C30" s="2265" t="s">
        <v>1956</v>
      </c>
      <c r="D30" s="1393">
        <f>SUM(D28:D29)</f>
        <v>963.19</v>
      </c>
      <c r="E30" s="1393">
        <f>SUM(E28:E29)</f>
        <v>3630.03</v>
      </c>
      <c r="F30" s="1393">
        <f>SUM(F28:F29)</f>
        <v>804.98</v>
      </c>
      <c r="G30" s="1395">
        <f>SUM(G28:G29)</f>
        <v>2825.05</v>
      </c>
      <c r="H30" s="1392"/>
      <c r="I30" s="1392"/>
      <c r="J30" s="1392"/>
      <c r="K30" s="1392"/>
      <c r="L30" s="1392"/>
      <c r="M30" s="1392"/>
      <c r="N30" s="1392"/>
      <c r="O30" s="1392"/>
      <c r="P30" s="1392"/>
    </row>
    <row r="31" spans="1:19" ht="15.75" thickBot="1">
      <c r="A31" s="2266"/>
      <c r="B31" s="2267"/>
      <c r="C31" s="1007" t="s">
        <v>1960</v>
      </c>
      <c r="D31" s="729">
        <f>D27+D30</f>
        <v>31136.969999999998</v>
      </c>
      <c r="E31" s="729">
        <f>E27+E30</f>
        <v>117348.15999999992</v>
      </c>
      <c r="F31" s="730">
        <f>F27+F30</f>
        <v>52122.129999999932</v>
      </c>
      <c r="G31" s="731">
        <f>G27+G30</f>
        <v>65226.03</v>
      </c>
      <c r="H31" s="1392"/>
      <c r="I31" s="1392"/>
      <c r="J31" s="1392"/>
      <c r="K31" s="1392"/>
      <c r="L31" s="1392"/>
      <c r="M31" s="1392"/>
      <c r="N31" s="1392"/>
      <c r="O31" s="1392"/>
      <c r="P31" s="1392"/>
    </row>
    <row r="32" spans="1:19">
      <c r="A32" s="2231"/>
      <c r="B32" s="2231" t="s">
        <v>1961</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1963</v>
      </c>
      <c r="B2" s="1266">
        <f>项目基本情况!D3</f>
        <v>43111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2" t="s">
        <v>1968</v>
      </c>
      <c r="AA4" s="2242"/>
      <c r="AB4" s="2242"/>
      <c r="AC4" s="2242"/>
      <c r="AD4" s="2242"/>
      <c r="AE4" s="2240" t="s">
        <v>1969</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1983</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2" t="s">
        <v>2004</v>
      </c>
      <c r="AP5" s="1249" t="s">
        <v>2005</v>
      </c>
      <c r="AQ5" s="2302" t="s">
        <v>2006</v>
      </c>
      <c r="AR5" s="2302"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3" t="str">
        <f>'数据-汇总表'!C19</f>
        <v>商品房</v>
      </c>
      <c r="B6" s="2304" t="str">
        <f>IF(A6=0,"","经营性")</f>
        <v>经营性</v>
      </c>
      <c r="C6" s="2305" t="s">
        <v>3151</v>
      </c>
      <c r="D6" s="1051">
        <f>SUMIF(项目基本情况!D$12:I$12,C6,项目基本情况!D$14:I$14)</f>
        <v>70</v>
      </c>
      <c r="E6" s="1048">
        <f>IF(B6="","",SUMIF(项目基本情况!D$12:I$12,C6,项目基本情况!D$13:I$13))</f>
        <v>67921</v>
      </c>
      <c r="F6" s="72">
        <f>SUMIF(项目基本情况!D$12:I$12,C6,项目基本情况!D$15:I$15)</f>
        <v>67.97</v>
      </c>
      <c r="G6" s="73">
        <f>IF(ISERROR(ROUND(POWER(1+H6,D6-F6)*(POWER(1+H6,F6)-1)/(POWER(1+H6,D6)-1),3)),0,ROUND(POWER(1+H6,D6-F6)*(POWER(1+H6,F6)-1)/(POWER(1+H6,D6)-1),3))</f>
        <v>0.996</v>
      </c>
      <c r="H6" s="802">
        <v>4.4999999999999998E-2</v>
      </c>
      <c r="I6" s="802">
        <v>5.5E-2</v>
      </c>
      <c r="J6" s="74">
        <v>8.5000000000000006E-2</v>
      </c>
      <c r="K6" s="1251">
        <f>SUMIF('数据-汇总表'!C$19:C$33,A6,'数据-汇总表'!E$19:E$33)</f>
        <v>40115.94</v>
      </c>
      <c r="L6" s="3010">
        <v>2600</v>
      </c>
      <c r="M6" s="75">
        <f t="shared" ref="M6:M14" si="0">ROUND(K6*L6/10000,0)</f>
        <v>10430</v>
      </c>
      <c r="N6" s="801">
        <f>N22</f>
        <v>0.51</v>
      </c>
      <c r="O6" s="75">
        <f>IF($N$5="成新度","——",ROUND(M6*N6,0))</f>
        <v>5319</v>
      </c>
      <c r="P6" s="76">
        <f>IF($N$5="成新度","——",M6-O6)</f>
        <v>5111</v>
      </c>
      <c r="Q6" s="804">
        <v>0.25</v>
      </c>
      <c r="R6" s="77">
        <f ca="1">SUMIF('数据-汇总表'!C$19:C$33,A6,'数据-汇总表'!R$19:R$27)</f>
        <v>10920.769999999999</v>
      </c>
      <c r="S6" s="54">
        <f>IF('数据-汇总表'!$I$17="按面积比例",SUMIF('数据-汇总表'!C$19:C$33,A6,'数据-汇总表'!K$19:K$33),SUMIF('数据-汇总表'!C$19:C$33,A6,'数据-汇总表'!N$19:N$33))</f>
        <v>1041.97</v>
      </c>
      <c r="T6" s="1443">
        <f>ROUND($L$14*S6/10000,0)</f>
        <v>188</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6"/>
      <c r="AO6" s="55" t="e">
        <f ca="1">SUMIF(INDIRECT("'"&amp;AN6&amp;"'"&amp;"!A:A"),"总价",INDIRECT("'"&amp;AN6&amp;"'"&amp;"!B:B"))</f>
        <v>#REF!</v>
      </c>
      <c r="AP6" s="2307">
        <f>IF(C6="住宅",K6*L6,0)</f>
        <v>104301444</v>
      </c>
      <c r="AQ6" s="55">
        <f>ROUND($L$14*$N$14*S6/10000,0)</f>
        <v>128</v>
      </c>
      <c r="AR6" s="55">
        <f>ROUND($L$14*(1-$N$14)*S6/10000,0)</f>
        <v>60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限价房</v>
      </c>
      <c r="B7" s="2304" t="str">
        <f t="shared" ref="B7:B13" si="1">IF(A7=0,"","经营性")</f>
        <v>经营性</v>
      </c>
      <c r="C7" s="2305" t="s">
        <v>3151</v>
      </c>
      <c r="D7" s="1051">
        <f>SUMIF(项目基本情况!D$12:I$12,C7,项目基本情况!D$14:I$14)</f>
        <v>70</v>
      </c>
      <c r="E7" s="1048">
        <f>IF(B7="","",SUMIF(项目基本情况!D$12:I$12,C7,项目基本情况!D$13:I$13))</f>
        <v>67921</v>
      </c>
      <c r="F7" s="72">
        <f>SUMIF(项目基本情况!D$12:I$12,C7,项目基本情况!D$15:I$15)</f>
        <v>67.97</v>
      </c>
      <c r="G7" s="73">
        <f t="shared" ref="G7:G11" si="2">IF(ISERROR(ROUND(POWER(1+H7,D7-F7)*(POWER(1+H7,F7)-1)/(POWER(1+H7,D7)-1),3)),0,ROUND(POWER(1+H7,D7-F7)*(POWER(1+H7,F7)-1)/(POWER(1+H7,D7)-1),3))</f>
        <v>0.996</v>
      </c>
      <c r="H7" s="802">
        <v>4.4999999999999998E-2</v>
      </c>
      <c r="I7" s="802">
        <v>0.05</v>
      </c>
      <c r="J7" s="74">
        <v>8.5000000000000006E-2</v>
      </c>
      <c r="K7" s="1251">
        <f>SUMIF('数据-汇总表'!C$19:C$33,A7,'数据-汇总表'!E$19:E$33)</f>
        <v>11201.209999999926</v>
      </c>
      <c r="L7" s="803">
        <v>2400</v>
      </c>
      <c r="M7" s="75">
        <f t="shared" si="0"/>
        <v>2688</v>
      </c>
      <c r="N7" s="801">
        <v>0.7</v>
      </c>
      <c r="O7" s="75">
        <f t="shared" ref="O7:O14" si="3">IF($N$5="成新度","——",ROUND(M7*N7,0))</f>
        <v>1882</v>
      </c>
      <c r="P7" s="76">
        <f t="shared" ref="P7:P14" si="4">IF($N$5="成新度","——",M7-O7)</f>
        <v>806</v>
      </c>
      <c r="Q7" s="804">
        <v>0.03</v>
      </c>
      <c r="R7" s="77">
        <f ca="1">SUMIF('数据-汇总表'!C$19:C$33,A7,'数据-汇总表'!R$19:R$27)</f>
        <v>3049.31</v>
      </c>
      <c r="S7" s="54">
        <f>IF('数据-汇总表'!$I$17="按面积比例",SUMIF('数据-汇总表'!C$19:C$33,A7,'数据-汇总表'!K$19:K$33),SUMIF('数据-汇总表'!C$19:C$33,A7,'数据-汇总表'!N$19:N$33))</f>
        <v>290.94</v>
      </c>
      <c r="T7" s="1443">
        <f t="shared" ref="T7:T13" si="5">ROUND($L$14*S7/10000,0)</f>
        <v>52</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26882903.999999825</v>
      </c>
      <c r="AQ7" s="55">
        <f t="shared" ref="AQ7:AQ13" si="10">ROUND($L$14*$N$14*S7/10000,0)</f>
        <v>36</v>
      </c>
      <c r="AR7" s="55">
        <f t="shared" ref="AR7:AR13" si="11">ROUND($L$14*(1-$N$14)*S7/10000,0)</f>
        <v>17</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3154</v>
      </c>
      <c r="D8" s="1051">
        <f>SUMIF(项目基本情况!D$12:I$12,C8,项目基本情况!D$14:I$14)</f>
        <v>50</v>
      </c>
      <c r="E8" s="1048">
        <f>IF(B8="","",SUMIF(项目基本情况!D$12:I$12,C8,项目基本情况!D$13:I$13))</f>
        <v>60616</v>
      </c>
      <c r="F8" s="72">
        <f>SUMIF(项目基本情况!D$12:I$12,C8,项目基本情况!D$15:I$15)</f>
        <v>47.95</v>
      </c>
      <c r="G8" s="73">
        <f t="shared" si="2"/>
        <v>0.98599999999999999</v>
      </c>
      <c r="H8" s="802">
        <v>0.04</v>
      </c>
      <c r="I8" s="802">
        <v>0.05</v>
      </c>
      <c r="J8" s="74">
        <v>8.5000000000000006E-2</v>
      </c>
      <c r="K8" s="1251">
        <f>SUMIF('数据-汇总表'!C$19:C$33,A8,'数据-汇总表'!E$19:E$33)</f>
        <v>7758.13</v>
      </c>
      <c r="L8" s="803">
        <v>2200</v>
      </c>
      <c r="M8" s="75">
        <f>ROUND(K8*L8/10000,0)</f>
        <v>1707</v>
      </c>
      <c r="N8" s="3008">
        <v>0.9</v>
      </c>
      <c r="O8" s="75">
        <f t="shared" si="3"/>
        <v>1536</v>
      </c>
      <c r="P8" s="76">
        <f t="shared" si="4"/>
        <v>171</v>
      </c>
      <c r="Q8" s="804">
        <v>0.1</v>
      </c>
      <c r="R8" s="77">
        <f ca="1">SUMIF('数据-汇总表'!C$19:C$33,A8,'数据-汇总表'!R$19:R$27)</f>
        <v>2112</v>
      </c>
      <c r="S8" s="54">
        <f>IF('数据-汇总表'!$I$17="按面积比例",SUMIF('数据-汇总表'!C$19:C$33,A8,'数据-汇总表'!K$19:K$33),SUMIF('数据-汇总表'!C$19:C$33,A8,'数据-汇总表'!N$19:N$33))</f>
        <v>201.51</v>
      </c>
      <c r="T8" s="1443">
        <f t="shared" si="5"/>
        <v>36</v>
      </c>
      <c r="U8" s="805">
        <v>1.3</v>
      </c>
      <c r="V8" s="806">
        <v>2.5000000000000001E-2</v>
      </c>
      <c r="W8" s="806">
        <v>0.1</v>
      </c>
      <c r="X8" s="1261"/>
      <c r="Y8" s="807"/>
      <c r="Z8" s="81"/>
      <c r="AA8" s="74"/>
      <c r="AB8" s="74"/>
      <c r="AC8" s="1261"/>
      <c r="AD8" s="82"/>
      <c r="AE8" s="1262">
        <f t="shared" ca="1" si="6"/>
        <v>46.85</v>
      </c>
      <c r="AF8" s="1804"/>
      <c r="AG8" s="147">
        <f t="shared" si="7"/>
        <v>0</v>
      </c>
      <c r="AH8" s="808"/>
      <c r="AI8" s="85">
        <v>365</v>
      </c>
      <c r="AJ8" s="86"/>
      <c r="AK8" s="87">
        <v>1.4999999999999999E-2</v>
      </c>
      <c r="AL8" s="88">
        <v>1.5E-3</v>
      </c>
      <c r="AM8" s="89">
        <v>1.4999999999999999E-2</v>
      </c>
      <c r="AN8" s="2306" t="s">
        <v>3165</v>
      </c>
      <c r="AO8" s="55">
        <f t="shared" ca="1" si="8"/>
        <v>6712</v>
      </c>
      <c r="AP8" s="2307">
        <f t="shared" si="9"/>
        <v>0</v>
      </c>
      <c r="AQ8" s="55">
        <f t="shared" si="10"/>
        <v>25</v>
      </c>
      <c r="AR8" s="55">
        <f t="shared" si="11"/>
        <v>12</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地下车库</v>
      </c>
      <c r="B9" s="2304" t="str">
        <f t="shared" si="1"/>
        <v>经营性</v>
      </c>
      <c r="C9" s="2305" t="s">
        <v>3156</v>
      </c>
      <c r="D9" s="1051">
        <f>SUMIF(项目基本情况!D$12:I$12,C9,项目基本情况!D$14:I$14)</f>
        <v>50</v>
      </c>
      <c r="E9" s="1048">
        <f>IF(B9="","",SUMIF(项目基本情况!D$12:I$12,C9,项目基本情况!D$13:I$13))</f>
        <v>60616</v>
      </c>
      <c r="F9" s="72">
        <f>SUMIF(项目基本情况!D$12:I$12,C9,项目基本情况!D$15:I$15)</f>
        <v>47.95</v>
      </c>
      <c r="G9" s="73">
        <f t="shared" si="2"/>
        <v>0.98599999999999999</v>
      </c>
      <c r="H9" s="74">
        <v>0.04</v>
      </c>
      <c r="I9" s="802">
        <v>0.05</v>
      </c>
      <c r="J9" s="74">
        <v>8.5000000000000006E-2</v>
      </c>
      <c r="K9" s="1251">
        <f>SUMIF('数据-汇总表'!C$19:C$33,A9,'数据-汇总表'!E$19:E$33)</f>
        <v>10208.15</v>
      </c>
      <c r="L9" s="803">
        <v>2200</v>
      </c>
      <c r="M9" s="75">
        <f t="shared" si="0"/>
        <v>2246</v>
      </c>
      <c r="N9" s="3008">
        <v>0.9</v>
      </c>
      <c r="O9" s="75">
        <f t="shared" si="3"/>
        <v>2021</v>
      </c>
      <c r="P9" s="76">
        <f t="shared" si="4"/>
        <v>225</v>
      </c>
      <c r="Q9" s="90">
        <v>0.1</v>
      </c>
      <c r="R9" s="77">
        <f ca="1">SUMIF('数据-汇总表'!C$19:C$33,A9,'数据-汇总表'!R$19:R$27)</f>
        <v>2778.96</v>
      </c>
      <c r="S9" s="54">
        <f>IF('数据-汇总表'!$I$17="按面积比例",SUMIF('数据-汇总表'!C$19:C$33,A9,'数据-汇总表'!K$19:K$33),SUMIF('数据-汇总表'!C$19:C$33,A9,'数据-汇总表'!N$19:N$33))</f>
        <v>265.14999999999998</v>
      </c>
      <c r="T9" s="1443">
        <f t="shared" si="5"/>
        <v>48</v>
      </c>
      <c r="U9" s="78">
        <v>1.4</v>
      </c>
      <c r="V9" s="79">
        <v>2.5000000000000001E-2</v>
      </c>
      <c r="W9" s="79">
        <v>0.1</v>
      </c>
      <c r="X9" s="1261"/>
      <c r="Y9" s="80"/>
      <c r="Z9" s="81"/>
      <c r="AA9" s="74"/>
      <c r="AB9" s="74"/>
      <c r="AC9" s="1261"/>
      <c r="AD9" s="82"/>
      <c r="AE9" s="1262">
        <f t="shared" ca="1" si="6"/>
        <v>46.85</v>
      </c>
      <c r="AF9" s="1804"/>
      <c r="AG9" s="147">
        <f t="shared" si="7"/>
        <v>0</v>
      </c>
      <c r="AH9" s="83"/>
      <c r="AI9" s="85">
        <v>365</v>
      </c>
      <c r="AJ9" s="86"/>
      <c r="AK9" s="87">
        <v>1.4999999999999999E-2</v>
      </c>
      <c r="AL9" s="88">
        <v>1.5E-3</v>
      </c>
      <c r="AM9" s="89">
        <v>1.4999999999999999E-2</v>
      </c>
      <c r="AN9" s="2306" t="s">
        <v>3166</v>
      </c>
      <c r="AO9" s="55">
        <f t="shared" ca="1" si="8"/>
        <v>9689</v>
      </c>
      <c r="AP9" s="2307">
        <f t="shared" si="9"/>
        <v>0</v>
      </c>
      <c r="AQ9" s="55">
        <f t="shared" si="10"/>
        <v>32</v>
      </c>
      <c r="AR9" s="55">
        <f t="shared" si="11"/>
        <v>15</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t="str">
        <f>'数据-汇总表'!C23</f>
        <v>叠拼车位</v>
      </c>
      <c r="B10" s="2304" t="str">
        <f t="shared" si="1"/>
        <v>经营性</v>
      </c>
      <c r="C10" s="2305" t="s">
        <v>3156</v>
      </c>
      <c r="D10" s="1051">
        <f>SUMIF(项目基本情况!D$12:I$12,C10,项目基本情况!D$14:I$14)</f>
        <v>50</v>
      </c>
      <c r="E10" s="1048">
        <f>IF(B10="","",SUMIF(项目基本情况!D$12:I$12,C10,项目基本情况!D$13:I$13))</f>
        <v>60616</v>
      </c>
      <c r="F10" s="72">
        <f>SUMIF(项目基本情况!D$12:I$12,C10,项目基本情况!D$15:I$15)</f>
        <v>47.95</v>
      </c>
      <c r="G10" s="73">
        <f t="shared" si="2"/>
        <v>0.98599999999999999</v>
      </c>
      <c r="H10" s="74">
        <v>0.04</v>
      </c>
      <c r="I10" s="802">
        <v>0.05</v>
      </c>
      <c r="J10" s="74">
        <v>8.5000000000000006E-2</v>
      </c>
      <c r="K10" s="1251">
        <f>SUMIF('数据-汇总表'!C$19:C$33,A10,'数据-汇总表'!E$19:E$33)</f>
        <v>14993.36</v>
      </c>
      <c r="L10" s="803">
        <v>2200</v>
      </c>
      <c r="M10" s="75">
        <f t="shared" si="0"/>
        <v>3299</v>
      </c>
      <c r="N10" s="801">
        <v>0.65</v>
      </c>
      <c r="O10" s="75">
        <f t="shared" si="3"/>
        <v>2144</v>
      </c>
      <c r="P10" s="76">
        <f t="shared" si="4"/>
        <v>1155</v>
      </c>
      <c r="Q10" s="90">
        <v>0.1</v>
      </c>
      <c r="R10" s="77">
        <f ca="1">SUMIF('数据-汇总表'!C$19:C$33,A10,'数据-汇总表'!R$19:R$27)</f>
        <v>4081.64</v>
      </c>
      <c r="S10" s="54">
        <f>IF('数据-汇总表'!$I$17="按面积比例",SUMIF('数据-汇总表'!C$19:C$33,A10,'数据-汇总表'!K$19:K$33),SUMIF('数据-汇总表'!C$19:C$33,A10,'数据-汇总表'!N$19:N$33))</f>
        <v>389.44</v>
      </c>
      <c r="T10" s="1443">
        <f t="shared" si="5"/>
        <v>70</v>
      </c>
      <c r="U10" s="78">
        <v>2</v>
      </c>
      <c r="V10" s="79">
        <v>2.5000000000000001E-2</v>
      </c>
      <c r="W10" s="79">
        <v>0.05</v>
      </c>
      <c r="X10" s="1261"/>
      <c r="Y10" s="80"/>
      <c r="Z10" s="81"/>
      <c r="AA10" s="74"/>
      <c r="AB10" s="74"/>
      <c r="AC10" s="1261"/>
      <c r="AD10" s="82"/>
      <c r="AE10" s="1262">
        <f t="shared" ca="1" si="6"/>
        <v>46.85</v>
      </c>
      <c r="AF10" s="1804"/>
      <c r="AG10" s="147">
        <f t="shared" si="7"/>
        <v>0</v>
      </c>
      <c r="AH10" s="83"/>
      <c r="AI10" s="85">
        <v>365</v>
      </c>
      <c r="AJ10" s="86"/>
      <c r="AK10" s="87">
        <v>1.4999999999999999E-2</v>
      </c>
      <c r="AL10" s="88">
        <v>1.5E-3</v>
      </c>
      <c r="AM10" s="89">
        <v>1.4999999999999999E-2</v>
      </c>
      <c r="AN10" s="2306" t="s">
        <v>3362</v>
      </c>
      <c r="AO10" s="55">
        <f t="shared" ca="1" si="8"/>
        <v>23087</v>
      </c>
      <c r="AP10" s="2307">
        <f t="shared" si="9"/>
        <v>0</v>
      </c>
      <c r="AQ10" s="55">
        <f t="shared" si="10"/>
        <v>48</v>
      </c>
      <c r="AR10" s="55">
        <f t="shared" si="11"/>
        <v>22</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t="str">
        <f>'数据-汇总表'!C24</f>
        <v>商品房仓储</v>
      </c>
      <c r="B11" s="2304" t="str">
        <f t="shared" si="1"/>
        <v>经营性</v>
      </c>
      <c r="C11" s="2305" t="s">
        <v>3154</v>
      </c>
      <c r="D11" s="1051">
        <f>SUMIF(项目基本情况!D$12:I$12,C11,项目基本情况!D$14:I$14)</f>
        <v>50</v>
      </c>
      <c r="E11" s="1048">
        <f>IF(B11="","",SUMIF(项目基本情况!D$12:I$12,C11,项目基本情况!D$13:I$13))</f>
        <v>60616</v>
      </c>
      <c r="F11" s="72">
        <f>SUMIF(项目基本情况!D$12:I$12,C11,项目基本情况!D$15:I$15)</f>
        <v>47.95</v>
      </c>
      <c r="G11" s="73">
        <f t="shared" si="2"/>
        <v>0.98599999999999999</v>
      </c>
      <c r="H11" s="74">
        <v>0.04</v>
      </c>
      <c r="I11" s="802">
        <v>0.05</v>
      </c>
      <c r="J11" s="74">
        <v>8.5000000000000006E-2</v>
      </c>
      <c r="K11" s="1251">
        <f>SUMIF('数据-汇总表'!C$19:C$33,A11,'数据-汇总表'!E$19:E$33)</f>
        <v>29441.34</v>
      </c>
      <c r="L11" s="91">
        <v>2200</v>
      </c>
      <c r="M11" s="75">
        <f t="shared" si="0"/>
        <v>6477</v>
      </c>
      <c r="N11" s="92">
        <v>0.65</v>
      </c>
      <c r="O11" s="75">
        <f t="shared" si="3"/>
        <v>4210</v>
      </c>
      <c r="P11" s="76">
        <f t="shared" si="4"/>
        <v>2267</v>
      </c>
      <c r="Q11" s="90">
        <v>0.1</v>
      </c>
      <c r="R11" s="77">
        <f ca="1">SUMIF('数据-汇总表'!C$19:C$33,A11,'数据-汇总表'!R$19:R$27)</f>
        <v>8014.83</v>
      </c>
      <c r="S11" s="54">
        <f>IF('数据-汇总表'!$I$17="按面积比例",SUMIF('数据-汇总表'!C$19:C$33,A11,'数据-汇总表'!K$19:K$33),SUMIF('数据-汇总表'!C$19:C$33,A11,'数据-汇总表'!N$19:N$33))</f>
        <v>764.71</v>
      </c>
      <c r="T11" s="1443">
        <f t="shared" si="5"/>
        <v>138</v>
      </c>
      <c r="U11" s="83">
        <v>2.5</v>
      </c>
      <c r="V11" s="74">
        <v>2.5000000000000001E-2</v>
      </c>
      <c r="W11" s="74">
        <v>0.05</v>
      </c>
      <c r="X11" s="1261"/>
      <c r="Y11" s="80"/>
      <c r="Z11" s="93"/>
      <c r="AA11" s="74"/>
      <c r="AB11" s="74"/>
      <c r="AC11" s="1261"/>
      <c r="AD11" s="82"/>
      <c r="AE11" s="1262">
        <f t="shared" ca="1" si="6"/>
        <v>46.85</v>
      </c>
      <c r="AF11" s="1804"/>
      <c r="AG11" s="147">
        <f t="shared" si="7"/>
        <v>0</v>
      </c>
      <c r="AH11" s="83"/>
      <c r="AI11" s="85">
        <v>365</v>
      </c>
      <c r="AJ11" s="86"/>
      <c r="AK11" s="87">
        <v>1.4999999999999999E-2</v>
      </c>
      <c r="AL11" s="88">
        <v>1.5E-3</v>
      </c>
      <c r="AM11" s="89">
        <v>1.4999999999999999E-2</v>
      </c>
      <c r="AN11" s="2306" t="s">
        <v>3395</v>
      </c>
      <c r="AO11" s="55">
        <f t="shared" ca="1" si="8"/>
        <v>58218</v>
      </c>
      <c r="AP11" s="2307">
        <f t="shared" si="9"/>
        <v>0</v>
      </c>
      <c r="AQ11" s="55">
        <f t="shared" si="10"/>
        <v>94</v>
      </c>
      <c r="AR11" s="55">
        <f t="shared" si="11"/>
        <v>44</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2008</v>
      </c>
      <c r="B14" s="2304" t="s">
        <v>2009</v>
      </c>
      <c r="C14" s="2309" t="s">
        <v>2008</v>
      </c>
      <c r="D14" s="1051"/>
      <c r="E14" s="1048"/>
      <c r="F14" s="72"/>
      <c r="G14" s="73"/>
      <c r="H14" s="1250"/>
      <c r="I14" s="1250"/>
      <c r="J14" s="1250"/>
      <c r="K14" s="1251">
        <f>SUMIF('数据-汇总表'!C$19:C$33,A14,'数据-汇总表'!E$19:E$33)</f>
        <v>2953.7000000000003</v>
      </c>
      <c r="L14" s="91">
        <v>1800</v>
      </c>
      <c r="M14" s="75">
        <f t="shared" si="0"/>
        <v>532</v>
      </c>
      <c r="N14" s="92">
        <f>N26</f>
        <v>0.68</v>
      </c>
      <c r="O14" s="75">
        <f t="shared" si="3"/>
        <v>362</v>
      </c>
      <c r="P14" s="76">
        <f t="shared" si="4"/>
        <v>170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2010</v>
      </c>
      <c r="B15" s="2304" t="s">
        <v>2009</v>
      </c>
      <c r="C15" s="2309" t="s">
        <v>2011</v>
      </c>
      <c r="D15" s="1051"/>
      <c r="E15" s="1048"/>
      <c r="F15" s="72"/>
      <c r="G15" s="73"/>
      <c r="H15" s="1250"/>
      <c r="I15" s="1250"/>
      <c r="J15" s="1250"/>
      <c r="K15" s="1251">
        <f>SUMIF('数据-汇总表'!C$19:C$33,A15,'数据-汇总表'!E$19:E$33)</f>
        <v>676.32999999999993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2012</v>
      </c>
      <c r="B16" s="97"/>
      <c r="C16" s="1005"/>
      <c r="D16" s="2311"/>
      <c r="E16" s="97"/>
      <c r="F16" s="97"/>
      <c r="G16" s="98">
        <f>ROUND(SUMPRODUCT(G6:G13,K6:K13)/SUMPRODUCT((G6:G13&gt;0)*(K6:K13)),3)</f>
        <v>0.99099999999999999</v>
      </c>
      <c r="H16" s="99">
        <f>ROUND(SUMPRODUCT(H6:H13,K6:K13)/SUMPRODUCT((H6:H13&gt;0)*(K6:K13)),3)</f>
        <v>4.2000000000000003E-2</v>
      </c>
      <c r="I16" s="100"/>
      <c r="J16" s="100"/>
      <c r="K16" s="101">
        <f>SUM(K6:K15)</f>
        <v>117348.15999999992</v>
      </c>
      <c r="L16" s="102">
        <f>ROUND(M16*10000/SUM(K6:K14),0)</f>
        <v>2347</v>
      </c>
      <c r="M16" s="102">
        <f>SUM(M6:M14)</f>
        <v>27379</v>
      </c>
      <c r="N16" s="103">
        <f>ROUND(SUMPRODUCT(M6:M14,N6:N14)/M16,3)</f>
        <v>0.63800000000000001</v>
      </c>
      <c r="O16" s="102">
        <f>SUM(O6:O14)</f>
        <v>17474</v>
      </c>
      <c r="P16" s="102">
        <f>SUM(P6:P14)</f>
        <v>9905</v>
      </c>
      <c r="Q16" s="104">
        <f>ROUND(SUMPRODUCT(Q6:Q13,K6:K13)/SUMPRODUCT((Q6:Q13&gt;0)*(K6:K13)),2)</f>
        <v>0.15</v>
      </c>
      <c r="R16" s="1255">
        <f ca="1">SUM(R6:R13)</f>
        <v>30957.509999999995</v>
      </c>
      <c r="S16" s="105">
        <f>SUM(S6:S13)</f>
        <v>2953.7200000000003</v>
      </c>
      <c r="T16" s="106">
        <f>IF(SUMIF(T6:T13,"&lt;9E307")=M14,SUMIF(T6:T13,"&lt;9E307"),"有误，请检查")</f>
        <v>532</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3084" t="s">
        <v>3355</v>
      </c>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3</v>
      </c>
      <c r="C20" s="2274" t="s">
        <v>2017</v>
      </c>
      <c r="D20" s="2275"/>
      <c r="E20" s="2274"/>
      <c r="F20" s="2274"/>
      <c r="G20" s="2274"/>
      <c r="H20" s="2274"/>
      <c r="I20" s="2274"/>
      <c r="J20" s="2274"/>
      <c r="K20" s="168"/>
      <c r="L20" s="168"/>
      <c r="M20" s="3084" t="s">
        <v>3356</v>
      </c>
      <c r="N20" s="3085">
        <v>0.7</v>
      </c>
      <c r="O20" s="1581">
        <f>规证整理!C11+规证整理!C25</f>
        <v>48468.88</v>
      </c>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3009">
        <f>ROUND(B20*N16,1)</f>
        <v>1.9</v>
      </c>
      <c r="C21" s="2274"/>
      <c r="D21" s="2275"/>
      <c r="E21" s="2274"/>
      <c r="F21" s="2274"/>
      <c r="G21" s="2274"/>
      <c r="H21" s="2274"/>
      <c r="I21" s="2274"/>
      <c r="J21" s="2274"/>
      <c r="K21" s="168"/>
      <c r="L21" s="168"/>
      <c r="M21" s="3084" t="s">
        <v>3357</v>
      </c>
      <c r="N21" s="3085">
        <v>0.3</v>
      </c>
      <c r="O21" s="1581">
        <f>规证整理!C45</f>
        <v>44253.9</v>
      </c>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3</v>
      </c>
      <c r="C22" s="2274"/>
      <c r="D22" s="2275"/>
      <c r="E22" s="2274"/>
      <c r="F22" s="2274"/>
      <c r="G22" s="2274"/>
      <c r="H22" s="2274"/>
      <c r="I22" s="2274"/>
      <c r="J22" s="2274"/>
      <c r="K22" s="168"/>
      <c r="L22" s="168"/>
      <c r="M22" s="1581"/>
      <c r="N22" s="3085">
        <f>ROUND((N20*O20+N21*O21)/O22,2)</f>
        <v>0.51</v>
      </c>
      <c r="O22" s="1581">
        <f>O20+O21</f>
        <v>92722.78</v>
      </c>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1.1000000000000001</v>
      </c>
      <c r="C24" s="2274"/>
      <c r="D24" s="2275"/>
      <c r="E24" s="2274"/>
      <c r="F24" s="2274"/>
      <c r="G24" s="2274"/>
      <c r="H24" s="2274"/>
      <c r="I24" s="2274"/>
      <c r="J24" s="2274"/>
      <c r="K24" s="168"/>
      <c r="L24" s="168"/>
      <c r="M24" s="3084" t="s">
        <v>3364</v>
      </c>
      <c r="N24" s="3085">
        <v>0.85</v>
      </c>
      <c r="O24" s="1581">
        <f>SUM('数据-基础表'!AL13:AN34)</f>
        <v>429.12</v>
      </c>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3085">
        <v>0.65</v>
      </c>
      <c r="O25" s="1581">
        <f>SUM('数据-基础表'!AL35:AN40)</f>
        <v>2524.5800000000004</v>
      </c>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3086">
        <f>ROUND((N24*O24+N25*O25)/O26,2)</f>
        <v>0.68</v>
      </c>
      <c r="O26" s="1581">
        <f>O24+O25</f>
        <v>2953.7000000000003</v>
      </c>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v>150</v>
      </c>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v>0</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90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110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3011">
        <v>0.08</v>
      </c>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200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0.02</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0.02</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4.7500000000000001E-2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0.05</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56</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215" t="s">
        <v>2079</v>
      </c>
      <c r="B1" s="3216"/>
      <c r="C1" s="3216"/>
      <c r="D1" s="3216"/>
      <c r="E1" s="3216"/>
      <c r="F1" s="3216"/>
      <c r="G1" s="321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81">
      <c r="A3" s="415" t="s">
        <v>2082</v>
      </c>
      <c r="B3" s="1268" t="s">
        <v>2083</v>
      </c>
      <c r="C3" s="2984" t="s">
        <v>3187</v>
      </c>
      <c r="D3" s="2367"/>
      <c r="E3" s="431" t="s">
        <v>2082</v>
      </c>
      <c r="F3" s="2368" t="s">
        <v>2084</v>
      </c>
      <c r="G3" s="2369" t="s">
        <v>2085</v>
      </c>
      <c r="H3" s="2365"/>
      <c r="I3" s="2365"/>
      <c r="J3" s="2365"/>
      <c r="K3" s="2365"/>
      <c r="L3" s="2365"/>
      <c r="M3" s="2365"/>
      <c r="N3" s="2365"/>
      <c r="O3" s="2365"/>
      <c r="P3" s="2365"/>
      <c r="Q3" s="2365"/>
      <c r="R3" s="2365"/>
    </row>
    <row r="4" spans="1:29" ht="41.25">
      <c r="A4" s="431"/>
      <c r="B4" s="1795" t="s">
        <v>2086</v>
      </c>
      <c r="C4" s="2370" t="s">
        <v>2087</v>
      </c>
      <c r="D4" s="2367"/>
      <c r="E4" s="2371"/>
      <c r="F4" s="42" t="s">
        <v>2088</v>
      </c>
      <c r="G4" s="2372" t="s">
        <v>2089</v>
      </c>
      <c r="H4" s="2365"/>
      <c r="I4" s="2365"/>
      <c r="J4" s="2365"/>
      <c r="K4" s="2365"/>
      <c r="L4" s="2365"/>
      <c r="M4" s="2365"/>
      <c r="N4" s="2365"/>
      <c r="O4" s="2365"/>
      <c r="P4" s="2365"/>
      <c r="Q4" s="2365"/>
      <c r="R4" s="2365"/>
    </row>
    <row r="5" spans="1:29" ht="41.25">
      <c r="A5" s="431"/>
      <c r="B5" s="1795" t="s">
        <v>2090</v>
      </c>
      <c r="C5" s="2370" t="s">
        <v>2091</v>
      </c>
      <c r="D5" s="2367"/>
      <c r="E5" s="2371"/>
      <c r="F5" s="1795" t="s">
        <v>2092</v>
      </c>
      <c r="G5" s="2372" t="s">
        <v>2093</v>
      </c>
      <c r="H5" s="2365"/>
      <c r="I5" s="2365"/>
      <c r="J5" s="2365"/>
      <c r="K5" s="2365"/>
      <c r="L5" s="2365"/>
      <c r="M5" s="2365"/>
      <c r="N5" s="2365"/>
      <c r="O5" s="2365"/>
      <c r="P5" s="2365"/>
      <c r="Q5" s="2365"/>
      <c r="R5" s="2365"/>
    </row>
    <row r="6" spans="1:29" ht="67.5">
      <c r="A6" s="431"/>
      <c r="B6" s="1795" t="s">
        <v>2094</v>
      </c>
      <c r="C6" s="2985" t="s">
        <v>3378</v>
      </c>
      <c r="D6" s="2367"/>
      <c r="E6" s="2371"/>
      <c r="F6" s="1795" t="s">
        <v>2095</v>
      </c>
      <c r="G6" s="2372" t="s">
        <v>2096</v>
      </c>
      <c r="H6" s="2365"/>
      <c r="I6" s="2365"/>
      <c r="J6" s="2365"/>
      <c r="K6" s="2365"/>
      <c r="L6" s="2365"/>
      <c r="M6" s="2365"/>
      <c r="N6" s="2365"/>
      <c r="O6" s="2365"/>
      <c r="P6" s="2365"/>
      <c r="Q6" s="2365"/>
      <c r="R6" s="2365"/>
    </row>
    <row r="7" spans="1:29" ht="122.25" thickBot="1">
      <c r="A7" s="431"/>
      <c r="B7" s="1795" t="s">
        <v>2092</v>
      </c>
      <c r="C7" s="2985" t="s">
        <v>3384</v>
      </c>
      <c r="D7" s="2373"/>
      <c r="E7" s="2374"/>
      <c r="F7" s="2375" t="s">
        <v>2097</v>
      </c>
      <c r="G7" s="2376" t="s">
        <v>2098</v>
      </c>
      <c r="H7" s="2365"/>
      <c r="I7" s="2365"/>
      <c r="J7" s="2365"/>
      <c r="K7" s="2365"/>
      <c r="L7" s="2365"/>
      <c r="M7" s="2365"/>
      <c r="N7" s="2365"/>
      <c r="O7" s="2365"/>
      <c r="P7" s="2365"/>
      <c r="Q7" s="2365"/>
      <c r="R7" s="2365"/>
    </row>
    <row r="8" spans="1:29" ht="27">
      <c r="A8" s="431"/>
      <c r="B8" s="1795" t="s">
        <v>2095</v>
      </c>
      <c r="C8" s="2985" t="s">
        <v>3366</v>
      </c>
      <c r="D8" s="2373"/>
      <c r="E8" s="2373"/>
      <c r="F8" s="1133"/>
      <c r="G8" s="1133"/>
      <c r="H8" s="2365"/>
      <c r="I8" s="2365"/>
      <c r="J8" s="2365"/>
      <c r="K8" s="2365"/>
      <c r="L8" s="2365"/>
      <c r="M8" s="2365"/>
      <c r="N8" s="2365"/>
      <c r="O8" s="2365"/>
      <c r="P8" s="2365"/>
      <c r="Q8" s="2365"/>
      <c r="R8" s="2365"/>
    </row>
    <row r="9" spans="1:29" ht="54">
      <c r="A9" s="431"/>
      <c r="B9" s="1795" t="s">
        <v>2099</v>
      </c>
      <c r="C9" s="2986" t="s">
        <v>3382</v>
      </c>
      <c r="D9" s="2367"/>
      <c r="E9" s="2373"/>
      <c r="F9" s="1133"/>
      <c r="G9" s="1133"/>
      <c r="H9" s="2365"/>
      <c r="I9" s="2365"/>
      <c r="J9" s="2365"/>
      <c r="K9" s="2365"/>
      <c r="L9" s="2365"/>
      <c r="M9" s="2365"/>
      <c r="N9" s="2365"/>
      <c r="O9" s="2365"/>
      <c r="P9" s="2365"/>
      <c r="Q9" s="2365"/>
      <c r="R9" s="2365"/>
    </row>
    <row r="10" spans="1:29" s="117" customFormat="1" ht="15.75" thickBot="1">
      <c r="A10" s="2377"/>
      <c r="B10" s="2378" t="s">
        <v>2100</v>
      </c>
      <c r="C10" s="2987" t="s">
        <v>3374</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2101</v>
      </c>
      <c r="B13" s="2383"/>
      <c r="C13" s="2383"/>
      <c r="D13" s="2390"/>
      <c r="E13" s="2383"/>
      <c r="F13" s="2383"/>
      <c r="G13" s="2383"/>
    </row>
    <row r="14" spans="1:29" ht="15.75" thickBot="1">
      <c r="A14" s="2394"/>
      <c r="B14" s="2395"/>
      <c r="C14" s="2396" t="s">
        <v>2102</v>
      </c>
      <c r="D14" s="2367"/>
      <c r="E14" s="2397"/>
      <c r="F14" s="2397"/>
      <c r="G14" s="2362" t="s">
        <v>2103</v>
      </c>
    </row>
    <row r="15" spans="1:29" ht="85.5">
      <c r="A15" s="68" t="s">
        <v>2104</v>
      </c>
      <c r="B15" s="1267" t="s">
        <v>2083</v>
      </c>
      <c r="C15" s="2398" t="str">
        <f>C3</f>
        <v>估价对象周边居住用地比例大、居住小区规模大且社区发展完善程度较好，如北京晨浩花园、海德堡小区、柏林在线等住宅小区，综合评价居住社区成熟度好。</v>
      </c>
      <c r="D15" s="2367"/>
      <c r="E15" s="2399" t="s">
        <v>2105</v>
      </c>
      <c r="F15" s="1267" t="s">
        <v>2106</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7"/>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3"/>
      <c r="E17" s="2402"/>
      <c r="F17" s="2403" t="s">
        <v>2107</v>
      </c>
      <c r="G17" s="1569"/>
    </row>
    <row r="18" spans="1:18" ht="71.25">
      <c r="A18" s="645"/>
      <c r="B18" s="2403" t="s">
        <v>2094</v>
      </c>
      <c r="C18" s="136" t="str">
        <f>C6</f>
        <v>估价对象多面临街，周边道路路网较为密集，公共交通通达情况较好，有417、533路等、停车便捷程度较好，综合评价交通便捷度较好。</v>
      </c>
      <c r="D18" s="2373"/>
      <c r="E18" s="2402"/>
      <c r="F18" s="2403" t="s">
        <v>2097</v>
      </c>
      <c r="G18" s="136" t="str">
        <f>G7</f>
        <v>该园区内是否有污染型企业，绿化情况，卫生条件，整体环境状况判断</v>
      </c>
    </row>
    <row r="19" spans="1:18" ht="28.5">
      <c r="A19" s="645"/>
      <c r="B19" s="2403" t="s">
        <v>2108</v>
      </c>
      <c r="C19" s="2988" t="s">
        <v>3380</v>
      </c>
      <c r="D19" s="2367"/>
      <c r="E19" s="2402"/>
      <c r="F19" s="1795" t="s">
        <v>2092</v>
      </c>
      <c r="G19" s="136" t="str">
        <f>G5</f>
        <v>估价对象所在区域公共配套设施齐备情况</v>
      </c>
    </row>
    <row r="20" spans="1:18" ht="57">
      <c r="A20" s="645"/>
      <c r="B20" s="2403" t="s">
        <v>2109</v>
      </c>
      <c r="C20" s="2401" t="str">
        <f>C9</f>
        <v>区域自然环境：未来科技城滨河公园；人文环境：无展览馆、博物馆等；综合评价环境状况一般。</v>
      </c>
      <c r="D20" s="2373"/>
      <c r="E20" s="2402"/>
      <c r="F20" s="1795" t="s">
        <v>2110</v>
      </c>
      <c r="G20" s="136" t="str">
        <f>G6</f>
        <v>估价对象所在区域基础设施水平</v>
      </c>
    </row>
    <row r="21" spans="1:18" ht="128.25">
      <c r="A21" s="645"/>
      <c r="B21" s="1795" t="s">
        <v>2092</v>
      </c>
      <c r="C21" s="136" t="str">
        <f>C7</f>
        <v>估价对象所在区域2公里范围内有：银行（中国银行、北京农村商业银行），购物（物联隆超市、超市发超市）、医院（北七家社区卫生服务中心），学校（北京市晨星学校、伊顿双语幼儿园），餐饮等，公共配套设施齐备情况较好。</v>
      </c>
      <c r="D21" s="2367"/>
      <c r="E21" s="2402"/>
      <c r="F21" s="2403" t="s">
        <v>2111</v>
      </c>
      <c r="G21" s="2404"/>
    </row>
    <row r="22" spans="1:18" ht="13.5" customHeight="1">
      <c r="A22" s="645"/>
      <c r="B22" s="1795" t="s">
        <v>2095</v>
      </c>
      <c r="C22" s="136" t="str">
        <f>C8</f>
        <v>估价对象所在区域基础设施水平达到“七通”。</v>
      </c>
      <c r="D22" s="2367"/>
      <c r="E22" s="2402"/>
      <c r="F22" s="2403" t="s">
        <v>2100</v>
      </c>
      <c r="G22" s="1569"/>
    </row>
    <row r="23" spans="1:18" s="2365" customFormat="1" ht="15.75" thickBot="1">
      <c r="A23" s="645"/>
      <c r="B23" s="2403" t="s">
        <v>2111</v>
      </c>
      <c r="C23" s="2404" t="s">
        <v>3188</v>
      </c>
      <c r="D23" s="2391"/>
      <c r="E23" s="2405"/>
      <c r="F23" s="2406" t="s">
        <v>2112</v>
      </c>
      <c r="G23" s="2407"/>
      <c r="H23" s="2391"/>
      <c r="I23" s="2392"/>
      <c r="J23" s="2391"/>
      <c r="K23" s="2391"/>
      <c r="L23" s="2392"/>
      <c r="M23" s="2391"/>
      <c r="N23" s="2391"/>
      <c r="O23" s="2392"/>
      <c r="P23" s="2391"/>
      <c r="Q23" s="2391"/>
      <c r="R23" s="2393"/>
    </row>
    <row r="24" spans="1:18" s="2365" customFormat="1" ht="15.75" thickBot="1">
      <c r="A24" s="2408"/>
      <c r="B24" s="2406" t="s">
        <v>2113</v>
      </c>
      <c r="C24" s="137" t="str">
        <f>C10</f>
        <v>城市支路——沟自头街</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4" sqref="D24"/>
    </sheetView>
  </sheetViews>
  <sheetFormatPr defaultRowHeight="13.5"/>
  <cols>
    <col min="1" max="1" width="23.375" style="1738" customWidth="1"/>
    <col min="2" max="9" width="15.75" style="1738" customWidth="1"/>
    <col min="10" max="16384" width="9" style="1738"/>
  </cols>
  <sheetData>
    <row r="1" spans="1:10" ht="16.5">
      <c r="A1" s="1743" t="s">
        <v>1365</v>
      </c>
      <c r="B1" s="1743">
        <f>SUM(B14:B23)</f>
        <v>140322.13999999993</v>
      </c>
      <c r="C1" s="1742"/>
      <c r="D1" s="1742"/>
      <c r="E1" s="1742"/>
      <c r="F1" s="1742"/>
      <c r="G1" s="1740"/>
    </row>
    <row r="2" spans="1:10" ht="16.5">
      <c r="A2" s="1743" t="s">
        <v>1353</v>
      </c>
      <c r="B2" s="1743">
        <f>SUM(C14:C23)</f>
        <v>37982.770000000004</v>
      </c>
      <c r="C2" s="1742"/>
      <c r="D2" s="1742"/>
      <c r="E2" s="1742"/>
      <c r="F2" s="1742"/>
      <c r="G2" s="1740"/>
    </row>
    <row r="3" spans="1:10" ht="16.5">
      <c r="A3" s="1743" t="s">
        <v>1362</v>
      </c>
      <c r="B3" s="1744">
        <f>项目基本情况!D3</f>
        <v>43111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281031</v>
      </c>
      <c r="C5" s="1743">
        <f ca="1">ROUND(B5*10000/$B$1,0)</f>
        <v>20028</v>
      </c>
      <c r="D5" s="1743">
        <f ca="1">ROUND(B5*10000/$B$2,0)</f>
        <v>73989</v>
      </c>
      <c r="E5" s="1742"/>
      <c r="F5" s="1740"/>
      <c r="G5" s="1740"/>
    </row>
    <row r="6" spans="1:10" ht="16.5">
      <c r="A6" s="1743" t="s">
        <v>1356</v>
      </c>
      <c r="B6" s="1743">
        <f ca="1">SUM(G14:G23)</f>
        <v>281031</v>
      </c>
      <c r="C6" s="1743">
        <f ca="1">ROUND(B6*10000/$B$1,0)</f>
        <v>20028</v>
      </c>
      <c r="D6" s="1743">
        <f ca="1">ROUND(B6*10000/$B$2,0)</f>
        <v>73989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117348.15999999993</v>
      </c>
      <c r="C14" s="1741">
        <f>结果表!C118</f>
        <v>31136.97</v>
      </c>
      <c r="D14" s="1741">
        <f ca="1">结果表!H118</f>
        <v>271791</v>
      </c>
      <c r="E14" s="1741">
        <f ca="1">ROUND(D14*10000/B14,0)</f>
        <v>23161</v>
      </c>
      <c r="F14" s="1741">
        <f ca="1">ROUND(D14*10000/C14,0)</f>
        <v>87289</v>
      </c>
      <c r="G14" s="1741">
        <f ca="1">结果表!D122</f>
        <v>271791</v>
      </c>
      <c r="H14" s="1741" t="str">
        <f>结果表!D124</f>
        <v>——</v>
      </c>
      <c r="I14" s="1741" t="str">
        <f>结果表!D126</f>
        <v>——</v>
      </c>
      <c r="J14" s="1740"/>
    </row>
    <row r="15" spans="1:10" ht="16.5">
      <c r="A15" s="1739" t="s">
        <v>1349</v>
      </c>
      <c r="B15" s="1746">
        <f>[2]结果表!$B$118</f>
        <v>22973.98</v>
      </c>
      <c r="C15" s="1746">
        <f>[2]结果表!$C$118</f>
        <v>6845.8</v>
      </c>
      <c r="D15" s="1746">
        <f ca="1">[2]结果表!$H$118</f>
        <v>9240</v>
      </c>
      <c r="E15" s="1741">
        <f t="shared" ref="E15:E23" ca="1" si="0">ROUND(D15*10000/B15,0)</f>
        <v>4022</v>
      </c>
      <c r="F15" s="1741">
        <f t="shared" ref="F15:F23" ca="1" si="1">ROUND(D15*10000/C15,0)</f>
        <v>13497</v>
      </c>
      <c r="G15" s="1747">
        <f ca="1">D15</f>
        <v>9240</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2114</v>
      </c>
      <c r="B1" s="2414"/>
      <c r="C1" s="2415"/>
      <c r="D1" s="2414"/>
      <c r="E1" s="2414"/>
      <c r="F1" s="2416" t="s">
        <v>2115</v>
      </c>
      <c r="G1" s="2068" t="s">
        <v>2116</v>
      </c>
      <c r="H1" s="2417" t="str">
        <f>IF(G1="现房","——","估价对象范围")</f>
        <v>估价对象范围</v>
      </c>
      <c r="I1" s="2418"/>
    </row>
    <row r="2" spans="1:12" ht="21.75" customHeight="1" thickBot="1">
      <c r="A2" s="3289" t="str">
        <f>项目基本情况!S2</f>
        <v>北京市昌平区北七家镇GZT-05-1地块出让国有建设用地使用权及在建建筑物房地产</v>
      </c>
      <c r="B2" s="3290"/>
      <c r="C2" s="3290"/>
      <c r="D2" s="3290"/>
      <c r="E2" s="3290"/>
      <c r="F2" s="3290"/>
      <c r="G2" s="3290"/>
      <c r="H2" s="3290"/>
      <c r="I2" s="3291"/>
    </row>
    <row r="3" spans="1:12" ht="12.75">
      <c r="A3" s="3292" t="s">
        <v>2117</v>
      </c>
      <c r="B3" s="3293"/>
      <c r="C3" s="3293"/>
      <c r="D3" s="3293"/>
      <c r="E3" s="3293"/>
      <c r="F3" s="3293"/>
      <c r="G3" s="3293"/>
      <c r="H3" s="3293"/>
      <c r="I3" s="3293"/>
    </row>
    <row r="4" spans="1:12" ht="14.25">
      <c r="A4" s="2421" t="s">
        <v>2118</v>
      </c>
      <c r="B4" s="2422" t="s">
        <v>2119</v>
      </c>
      <c r="C4" s="2423" t="s">
        <v>3250</v>
      </c>
      <c r="D4" s="2423" t="s">
        <v>3251</v>
      </c>
      <c r="E4" s="3273" t="s">
        <v>2120</v>
      </c>
      <c r="F4" s="3286"/>
      <c r="G4" s="3286"/>
      <c r="H4" s="3286"/>
      <c r="I4" s="327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264" t="s">
        <v>2121</v>
      </c>
      <c r="B5" s="3171">
        <v>25</v>
      </c>
      <c r="C5" s="3294"/>
      <c r="D5" s="3282"/>
      <c r="E5" s="140" t="s">
        <v>2122</v>
      </c>
      <c r="F5" s="2425"/>
      <c r="G5" s="2425"/>
      <c r="H5" s="2425"/>
      <c r="I5" s="1831"/>
    </row>
    <row r="6" spans="1:12" ht="12.75">
      <c r="A6" s="3264"/>
      <c r="B6" s="3171"/>
      <c r="C6" s="3296"/>
      <c r="D6" s="3282"/>
      <c r="E6" s="140" t="s">
        <v>2123</v>
      </c>
      <c r="F6" s="2425"/>
      <c r="G6" s="2425"/>
      <c r="H6" s="2425"/>
      <c r="I6" s="1831"/>
    </row>
    <row r="7" spans="1:12" ht="12.75">
      <c r="A7" s="3264"/>
      <c r="B7" s="3171"/>
      <c r="C7" s="3295"/>
      <c r="D7" s="3282"/>
      <c r="E7" s="140" t="s">
        <v>2124</v>
      </c>
      <c r="F7" s="2425"/>
      <c r="G7" s="2425"/>
      <c r="H7" s="2425"/>
      <c r="I7" s="1831"/>
    </row>
    <row r="8" spans="1:12" ht="12.75">
      <c r="A8" s="3264" t="s">
        <v>2125</v>
      </c>
      <c r="B8" s="3171">
        <v>15</v>
      </c>
      <c r="C8" s="3294"/>
      <c r="D8" s="3282"/>
      <c r="E8" s="140" t="s">
        <v>2126</v>
      </c>
      <c r="F8" s="2425"/>
      <c r="G8" s="2425"/>
      <c r="H8" s="2425"/>
      <c r="I8" s="1831"/>
    </row>
    <row r="9" spans="1:12" ht="12.75">
      <c r="A9" s="3264"/>
      <c r="B9" s="3171"/>
      <c r="C9" s="3295"/>
      <c r="D9" s="3282"/>
      <c r="E9" s="140" t="s">
        <v>2127</v>
      </c>
      <c r="F9" s="2425"/>
      <c r="G9" s="2425"/>
      <c r="H9" s="2425"/>
      <c r="I9" s="1831"/>
    </row>
    <row r="10" spans="1:12" ht="12.75">
      <c r="A10" s="3264" t="s">
        <v>2128</v>
      </c>
      <c r="B10" s="3171">
        <v>15</v>
      </c>
      <c r="C10" s="3294"/>
      <c r="D10" s="3282"/>
      <c r="E10" s="140" t="s">
        <v>2129</v>
      </c>
      <c r="F10" s="2425"/>
      <c r="G10" s="2425"/>
      <c r="H10" s="2425"/>
      <c r="I10" s="1831"/>
    </row>
    <row r="11" spans="1:12" ht="12.75">
      <c r="A11" s="3264"/>
      <c r="B11" s="3171"/>
      <c r="C11" s="3295"/>
      <c r="D11" s="3282"/>
      <c r="E11" s="140" t="s">
        <v>2130</v>
      </c>
      <c r="F11" s="2425"/>
      <c r="G11" s="2425"/>
      <c r="H11" s="2425"/>
      <c r="I11" s="1831"/>
    </row>
    <row r="12" spans="1:12" ht="12.75">
      <c r="A12" s="3264" t="s">
        <v>2131</v>
      </c>
      <c r="B12" s="3171">
        <v>15</v>
      </c>
      <c r="C12" s="3294"/>
      <c r="D12" s="3282"/>
      <c r="E12" s="140" t="s">
        <v>2132</v>
      </c>
      <c r="F12" s="2425"/>
      <c r="G12" s="2425"/>
      <c r="H12" s="2425"/>
      <c r="I12" s="1831"/>
    </row>
    <row r="13" spans="1:12" ht="12.75">
      <c r="A13" s="3264"/>
      <c r="B13" s="3171"/>
      <c r="C13" s="3295"/>
      <c r="D13" s="3282"/>
      <c r="E13" s="140" t="s">
        <v>2133</v>
      </c>
      <c r="F13" s="2425"/>
      <c r="G13" s="2425"/>
      <c r="H13" s="2425"/>
      <c r="I13" s="1831"/>
    </row>
    <row r="14" spans="1:12" ht="12.75">
      <c r="A14" s="3264" t="s">
        <v>2134</v>
      </c>
      <c r="B14" s="3171">
        <v>30</v>
      </c>
      <c r="C14" s="3294">
        <v>4</v>
      </c>
      <c r="D14" s="3282">
        <v>6</v>
      </c>
      <c r="E14" s="140" t="s">
        <v>2135</v>
      </c>
      <c r="F14" s="2425"/>
      <c r="G14" s="2425"/>
      <c r="H14" s="2425"/>
      <c r="I14" s="1831"/>
    </row>
    <row r="15" spans="1:12" ht="12.75">
      <c r="A15" s="3264"/>
      <c r="B15" s="3171"/>
      <c r="C15" s="3296"/>
      <c r="D15" s="3282"/>
      <c r="E15" s="140" t="s">
        <v>2136</v>
      </c>
      <c r="F15" s="2425"/>
      <c r="G15" s="2425"/>
      <c r="H15" s="2425"/>
      <c r="I15" s="1831"/>
    </row>
    <row r="16" spans="1:12" ht="12.75">
      <c r="A16" s="3264"/>
      <c r="B16" s="3171"/>
      <c r="C16" s="3295"/>
      <c r="D16" s="3282"/>
      <c r="E16" s="140" t="s">
        <v>2137</v>
      </c>
      <c r="F16" s="2425"/>
      <c r="G16" s="2425"/>
      <c r="H16" s="2425"/>
      <c r="I16" s="1831"/>
    </row>
    <row r="17" spans="1:35" ht="15">
      <c r="A17" s="2426" t="s">
        <v>2138</v>
      </c>
      <c r="B17" s="64"/>
      <c r="C17" s="141">
        <f>SUM(C5:C16)</f>
        <v>4</v>
      </c>
      <c r="D17" s="141">
        <f>SUM(D5:D16)</f>
        <v>6</v>
      </c>
      <c r="E17" s="138"/>
      <c r="F17" s="138"/>
      <c r="G17" s="138"/>
      <c r="H17" s="138"/>
      <c r="I17" s="138"/>
      <c r="K17" s="2424"/>
      <c r="L17" s="2427" t="s">
        <v>2139</v>
      </c>
      <c r="M17" s="2427" t="s">
        <v>2140</v>
      </c>
    </row>
    <row r="18" spans="1:35" ht="15.75" thickBot="1">
      <c r="A18" s="2428" t="s">
        <v>2141</v>
      </c>
      <c r="B18" s="2429"/>
      <c r="C18" s="142">
        <f>ROUND(C17/SUM(C17:D17),2)</f>
        <v>0.4</v>
      </c>
      <c r="D18" s="142">
        <f>1-C18</f>
        <v>0.6</v>
      </c>
      <c r="E18" s="138"/>
      <c r="F18" s="138"/>
      <c r="G18" s="138"/>
      <c r="H18" s="138"/>
      <c r="I18" s="138"/>
      <c r="K18" s="2424" t="s">
        <v>2142</v>
      </c>
      <c r="L18" s="2424">
        <f>IF(C1="",'数据-汇总表'!E3,SUMIF(项目类型,C1,'数据-汇总表'!E17:E26)+SUMIF(项目类型,C1,'数据-汇总表'!I17:I26))</f>
        <v>117348.15999999993</v>
      </c>
      <c r="M18" s="2424">
        <f>IF(C1="",'数据-汇总表'!E3,SUMIF(项目类型,C1,'数据-汇总表'!E17:E26))</f>
        <v>117348.15999999993</v>
      </c>
    </row>
    <row r="19" spans="1:35" ht="15">
      <c r="A19" s="2430" t="s">
        <v>2143</v>
      </c>
      <c r="B19" s="2431" t="s">
        <v>2144</v>
      </c>
      <c r="C19" s="143">
        <f ca="1">SUMIF(INDIRECT("'"&amp;C4&amp;"'"&amp;"!A:A"),结果表!B19,INDIRECT("'"&amp;C4&amp;"'"&amp;"!B:B"))</f>
        <v>225167</v>
      </c>
      <c r="D19" s="144">
        <f ca="1">SUMIF(INDIRECT("'"&amp;D4&amp;"'"&amp;"!A:A"),结果表!B19,INDIRECT("'"&amp;D4&amp;"'"&amp;"!B:B"))</f>
        <v>302874</v>
      </c>
      <c r="E19" s="2430" t="s">
        <v>2145</v>
      </c>
      <c r="F19" s="2431" t="s">
        <v>2144</v>
      </c>
      <c r="G19" s="145">
        <f ca="1">ROUND(C19*$C$18+D19*$D$18,0)</f>
        <v>271791</v>
      </c>
      <c r="H19" s="2432" t="s">
        <v>2146</v>
      </c>
      <c r="I19" s="138"/>
      <c r="J19" s="795">
        <f ca="1">G19+[3]结果表!$G$19</f>
        <v>302940</v>
      </c>
      <c r="K19" s="2424" t="s">
        <v>2147</v>
      </c>
      <c r="L19" s="2424">
        <f>IF(C1="",'数据-汇总表'!D3,SUMIF(项目类型,C1,'数据-汇总表'!D17:D26)+SUMIF(项目类型,C1,'数据-汇总表'!H17:H27))</f>
        <v>31136.97</v>
      </c>
      <c r="M19" s="2424">
        <f>IF(C1="",'数据-汇总表'!D3,SUMIF(项目类型,C1,'数据-汇总表'!D17:D26))</f>
        <v>31136.97</v>
      </c>
    </row>
    <row r="20" spans="1:35" ht="15">
      <c r="A20" s="2433"/>
      <c r="B20" s="1247" t="s">
        <v>2148</v>
      </c>
      <c r="C20" s="146">
        <f ca="1">SUMIF(INDIRECT("'"&amp;C4&amp;"'"&amp;"!A:A"),结果表!B20,INDIRECT("'"&amp;C4&amp;"'"&amp;"!B:B"))</f>
        <v>19188</v>
      </c>
      <c r="D20" s="147">
        <f ca="1">SUMIF(INDIRECT("'"&amp;D4&amp;"'"&amp;"!A:A"),结果表!B20,INDIRECT("'"&amp;D4&amp;"'"&amp;"!B:B"))</f>
        <v>25810</v>
      </c>
      <c r="E20" s="2433"/>
      <c r="F20" s="1247" t="s">
        <v>2148</v>
      </c>
      <c r="G20" s="148">
        <f ca="1">ROUND(C20*$C$18+D20*$D$18,0)</f>
        <v>23161</v>
      </c>
      <c r="H20" s="980" t="s">
        <v>2149</v>
      </c>
      <c r="I20" s="138"/>
      <c r="J20" s="795">
        <f ca="1">G19/'数据-汇总表'!F31</f>
        <v>5.2145029376197858</v>
      </c>
    </row>
    <row r="21" spans="1:35" ht="15" customHeight="1" thickBot="1">
      <c r="A21" s="1000"/>
      <c r="B21" s="2434" t="s">
        <v>2150</v>
      </c>
      <c r="C21" s="789">
        <f ca="1">ROUND(C19*10000/L19,0)</f>
        <v>72315</v>
      </c>
      <c r="D21" s="790">
        <f ca="1">ROUND(D19*10000/L19,0)</f>
        <v>97272</v>
      </c>
      <c r="E21" s="1000"/>
      <c r="F21" s="2434" t="s">
        <v>2150</v>
      </c>
      <c r="G21" s="149">
        <f ca="1">ROUND(G19*10000/L19,0)</f>
        <v>87289</v>
      </c>
      <c r="H21" s="2435" t="s">
        <v>2149</v>
      </c>
      <c r="I21" s="138"/>
    </row>
    <row r="22" spans="1:35" ht="15" thickBot="1">
      <c r="A22" s="2278" t="s">
        <v>2151</v>
      </c>
      <c r="B22" s="2436"/>
      <c r="C22" s="2437"/>
      <c r="D22" s="791">
        <f ca="1">IF(C19&lt;D19,D19/C19-1,C19/D19-1)</f>
        <v>0.34510829739704318</v>
      </c>
      <c r="E22" s="138"/>
      <c r="F22" s="138"/>
      <c r="G22" s="138"/>
      <c r="H22" s="138"/>
      <c r="I22" s="138"/>
    </row>
    <row r="23" spans="1:35" ht="13.5" thickBot="1">
      <c r="A23" s="2414"/>
      <c r="B23" s="2414"/>
      <c r="C23" s="2414"/>
      <c r="D23" s="2414"/>
      <c r="E23" s="138"/>
      <c r="F23" s="138"/>
      <c r="G23" s="138"/>
      <c r="H23" s="138"/>
      <c r="I23" s="138"/>
    </row>
    <row r="24" spans="1:35" ht="14.25">
      <c r="A24" s="3303" t="s">
        <v>2152</v>
      </c>
      <c r="B24" s="2431" t="s">
        <v>2144</v>
      </c>
      <c r="C24" s="145">
        <f>IF(B30=0,0,D30)</f>
        <v>0</v>
      </c>
      <c r="D24" s="2438"/>
      <c r="E24" s="138"/>
      <c r="F24" s="138"/>
      <c r="G24" s="138"/>
      <c r="H24" s="138"/>
      <c r="I24" s="138"/>
    </row>
    <row r="25" spans="1:35" ht="14.25">
      <c r="A25" s="3304"/>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1"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271791</v>
      </c>
      <c r="D32" s="2445" t="s">
        <v>2159</v>
      </c>
      <c r="E32" s="138"/>
      <c r="F32" s="138"/>
      <c r="G32" s="138"/>
      <c r="H32" s="138"/>
      <c r="I32" s="138"/>
    </row>
    <row r="33" spans="1:15" ht="15">
      <c r="A33" s="957" t="s">
        <v>2160</v>
      </c>
      <c r="B33" s="2446"/>
      <c r="C33" s="2447" t="s">
        <v>3363</v>
      </c>
      <c r="D33" s="2448" t="s">
        <v>3250</v>
      </c>
      <c r="E33" s="2449" t="s">
        <v>2161</v>
      </c>
      <c r="F33" s="2450" t="str">
        <f>IF(D32="楼面单价","取值（单价）","取值（总价）")</f>
        <v>取值（总价）</v>
      </c>
      <c r="G33" s="138"/>
      <c r="H33" s="138"/>
      <c r="I33" s="138"/>
    </row>
    <row r="34" spans="1:15" ht="15">
      <c r="A34" s="2451"/>
      <c r="B34" s="2452" t="s">
        <v>2162</v>
      </c>
      <c r="C34" s="157">
        <f ca="1">IF(C33="自定义",F34,C32-C35)</f>
        <v>239448</v>
      </c>
      <c r="D34" s="1055">
        <f ca="1">IF(C33="自定义",ROUND(C34/C32,3),IF(C33="收益比率",SUMIF(INDIRECT("'"&amp;D33&amp;"'"&amp;"!b:b"),"土地收益比率",INDIRECT("'"&amp;D33&amp;"'"&amp;"!c:c")),SUMIF(INDIRECT("'"&amp;D33&amp;"'"&amp;"!b:b"),"土地成本比率",INDIRECT("'"&amp;D33&amp;"'"&amp;"!c:c"))))</f>
        <v>0.88100000000000001</v>
      </c>
      <c r="E34" s="2453" t="s">
        <v>2163</v>
      </c>
      <c r="F34" s="1736"/>
      <c r="G34" s="138"/>
      <c r="H34" s="138"/>
      <c r="I34" s="138"/>
    </row>
    <row r="35" spans="1:15" ht="15.75" thickBot="1">
      <c r="A35" s="2454"/>
      <c r="B35" s="2455" t="s">
        <v>2164</v>
      </c>
      <c r="C35" s="1441">
        <f ca="1">IF(C33="自定义",F35,ROUND(C32*D35,0))</f>
        <v>32343</v>
      </c>
      <c r="D35" s="1442">
        <f ca="1">IF(C33="自定义",ROUND(C35/C32,3),IF(C33="收益比率",SUMIF(INDIRECT("'"&amp;D33&amp;"'"&amp;"!b:b"),"建筑物收益比率",INDIRECT("'"&amp;D33&amp;"'"&amp;"!c:c")),SUMIF(INDIRECT("'"&amp;D33&amp;"'"&amp;"!b:b"),"建筑物成本比率",INDIRECT("'"&amp;D33&amp;"'"&amp;"!c:c"))))</f>
        <v>0.11899999999999999</v>
      </c>
      <c r="E35" s="2456" t="s">
        <v>2165</v>
      </c>
      <c r="F35" s="163"/>
      <c r="G35" s="138"/>
      <c r="H35" s="138"/>
      <c r="I35" s="138"/>
    </row>
    <row r="36" spans="1:15" ht="15.75" thickBot="1">
      <c r="A36" s="3283" t="s">
        <v>2166</v>
      </c>
      <c r="B36" s="2457" t="s">
        <v>2167</v>
      </c>
      <c r="C36" s="154"/>
      <c r="D36" s="2458"/>
      <c r="E36" s="2459"/>
      <c r="F36" s="2460"/>
      <c r="G36" s="138"/>
      <c r="H36" s="138"/>
      <c r="I36" s="138"/>
    </row>
    <row r="37" spans="1:15" ht="15.75" thickBot="1">
      <c r="A37" s="3284"/>
      <c r="B37" s="2264" t="s">
        <v>2168</v>
      </c>
      <c r="C37" s="156"/>
      <c r="D37" s="1392"/>
      <c r="E37" s="1392"/>
      <c r="F37" s="2460"/>
      <c r="G37" s="138"/>
      <c r="H37" s="138"/>
      <c r="I37" s="138"/>
    </row>
    <row r="38" spans="1:15" ht="15.75" thickBot="1">
      <c r="A38" s="3285"/>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300" t="s">
        <v>2180</v>
      </c>
      <c r="B45" s="3301"/>
      <c r="C45" s="3302"/>
      <c r="D45" s="164">
        <f ca="1">ROUND(H101*F45,0)</f>
        <v>271791</v>
      </c>
      <c r="E45" s="165" t="s">
        <v>2181</v>
      </c>
      <c r="F45" s="166">
        <v>1</v>
      </c>
      <c r="G45" s="167" t="s">
        <v>2182</v>
      </c>
      <c r="H45" s="138"/>
      <c r="I45" s="138"/>
      <c r="J45" s="3219" t="s">
        <v>2183</v>
      </c>
      <c r="K45" s="3219"/>
      <c r="L45" s="3219"/>
      <c r="M45" s="3219"/>
      <c r="N45" s="3219"/>
      <c r="O45" s="3219"/>
    </row>
    <row r="46" spans="1:15" ht="14.25" customHeight="1">
      <c r="A46" s="3297" t="s">
        <v>2184</v>
      </c>
      <c r="B46" s="3298"/>
      <c r="C46" s="3298"/>
      <c r="D46" s="3298"/>
      <c r="E46" s="3298"/>
      <c r="F46" s="3298"/>
      <c r="G46" s="3299"/>
      <c r="H46" s="2476"/>
      <c r="I46" s="168"/>
      <c r="J46" s="1809">
        <v>1</v>
      </c>
      <c r="K46" s="3219" t="s">
        <v>2185</v>
      </c>
      <c r="L46" s="3219"/>
      <c r="M46" s="3220"/>
      <c r="N46" s="3220"/>
      <c r="O46" s="3220"/>
    </row>
    <row r="47" spans="1:15" ht="12" customHeight="1">
      <c r="A47" s="169" t="s">
        <v>2186</v>
      </c>
      <c r="B47" s="170"/>
      <c r="C47" s="171"/>
      <c r="D47" s="172" t="s">
        <v>2187</v>
      </c>
      <c r="E47" s="24" t="s">
        <v>2188</v>
      </c>
      <c r="F47" s="173" t="s">
        <v>2189</v>
      </c>
      <c r="G47" s="174" t="s">
        <v>2190</v>
      </c>
      <c r="H47" s="2476"/>
      <c r="I47" s="168"/>
      <c r="J47" s="1809">
        <v>2</v>
      </c>
      <c r="K47" s="3219" t="s">
        <v>2191</v>
      </c>
      <c r="L47" s="3219"/>
      <c r="M47" s="3221">
        <f>'数据-取费表'!B2</f>
        <v>43111</v>
      </c>
      <c r="N47" s="3221"/>
      <c r="O47" s="3221"/>
    </row>
    <row r="48" spans="1:15" ht="25.5">
      <c r="A48" s="3287" t="s">
        <v>2192</v>
      </c>
      <c r="B48" s="3288"/>
      <c r="C48" s="3288"/>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219" t="s">
        <v>2195</v>
      </c>
      <c r="L48" s="3219"/>
      <c r="M48" s="3222">
        <f ca="1">H101</f>
        <v>271791</v>
      </c>
      <c r="N48" s="3222"/>
      <c r="O48" s="3222"/>
    </row>
    <row r="49" spans="1:35" ht="25.5" customHeight="1">
      <c r="A49" s="176" t="s">
        <v>2196</v>
      </c>
      <c r="B49" s="3267" t="s">
        <v>2197</v>
      </c>
      <c r="C49" s="3267"/>
      <c r="D49" s="177">
        <v>0</v>
      </c>
      <c r="E49" s="23" t="s">
        <v>2198</v>
      </c>
      <c r="F49" s="28" t="s">
        <v>34</v>
      </c>
      <c r="G49" s="3248"/>
      <c r="H49" s="138"/>
      <c r="I49" s="2479"/>
      <c r="J49" s="1809">
        <v>4</v>
      </c>
      <c r="K49" s="3219" t="str">
        <f>IF(项目基本情况!E8="房地产抵押价值","房地产抵押价值","抵押担保权已注销时的房地产抵押价值")</f>
        <v>房地产抵押价值</v>
      </c>
      <c r="L49" s="3219"/>
      <c r="M49" s="3222">
        <f ca="1">IF(项目基本情况!E8="房地产抵押价值",H107,H109)</f>
        <v>271791</v>
      </c>
      <c r="N49" s="3222"/>
      <c r="O49" s="3222"/>
    </row>
    <row r="50" spans="1:35" ht="25.5" customHeight="1">
      <c r="A50" s="178"/>
      <c r="B50" s="3267" t="s">
        <v>2199</v>
      </c>
      <c r="C50" s="3267"/>
      <c r="D50" s="179"/>
      <c r="E50" s="31"/>
      <c r="F50" s="180"/>
      <c r="G50" s="3249"/>
      <c r="H50" s="138"/>
      <c r="I50" s="2479"/>
      <c r="J50" s="3219" t="s">
        <v>2200</v>
      </c>
      <c r="K50" s="3219"/>
      <c r="L50" s="3219"/>
      <c r="M50" s="3219"/>
      <c r="N50" s="3219"/>
      <c r="O50" s="3219"/>
    </row>
    <row r="51" spans="1:35" ht="12" customHeight="1">
      <c r="A51" s="181"/>
      <c r="B51" s="3267" t="s">
        <v>2201</v>
      </c>
      <c r="C51" s="3267"/>
      <c r="D51" s="182"/>
      <c r="E51" s="30"/>
      <c r="F51" s="180"/>
      <c r="G51" s="3250"/>
      <c r="H51" s="138"/>
      <c r="I51" s="2479"/>
      <c r="J51" s="2480" t="s">
        <v>2202</v>
      </c>
      <c r="K51" s="3219" t="s">
        <v>2203</v>
      </c>
      <c r="L51" s="3219"/>
      <c r="M51" s="2480" t="s">
        <v>2204</v>
      </c>
      <c r="N51" s="2480" t="s">
        <v>2205</v>
      </c>
      <c r="O51" s="2480" t="s">
        <v>2206</v>
      </c>
    </row>
    <row r="52" spans="1:35" ht="24" customHeight="1">
      <c r="A52" s="183" t="s">
        <v>2207</v>
      </c>
      <c r="B52" s="3267" t="s">
        <v>2208</v>
      </c>
      <c r="C52" s="3267"/>
      <c r="D52" s="182">
        <f ca="1">ROUND(D45*'数据-取费表'!B41/(1+'数据-取费表'!C42),0)</f>
        <v>14237</v>
      </c>
      <c r="E52" s="11" t="s">
        <v>2209</v>
      </c>
      <c r="F52" s="184">
        <f>'数据-取费表'!B41</f>
        <v>5.5000000000000007E-2</v>
      </c>
      <c r="G52" s="2481"/>
      <c r="H52" s="138"/>
      <c r="I52" s="2479"/>
      <c r="J52" s="1809">
        <v>1</v>
      </c>
      <c r="K52" s="3242" t="s">
        <v>2210</v>
      </c>
      <c r="L52" s="3242"/>
      <c r="M52" s="1751">
        <f>D48</f>
        <v>0</v>
      </c>
      <c r="N52" s="1809" t="str">
        <f>E48</f>
        <v>销售额×税（费）率</v>
      </c>
      <c r="O52" s="1752" t="str">
        <f>F48</f>
        <v>免征</v>
      </c>
    </row>
    <row r="53" spans="1:35" ht="12" customHeight="1">
      <c r="A53" s="183" t="s">
        <v>2211</v>
      </c>
      <c r="B53" s="3268" t="s">
        <v>2212</v>
      </c>
      <c r="C53" s="3269"/>
      <c r="D53" s="182">
        <f ca="1">ROUND(D45*'数据-取费表'!B41/(1+'数据-取费表'!C42),0)</f>
        <v>14237</v>
      </c>
      <c r="E53" s="11" t="s">
        <v>2209</v>
      </c>
      <c r="F53" s="184">
        <f>'数据-取费表'!B41</f>
        <v>5.5000000000000007E-2</v>
      </c>
      <c r="G53" s="2481"/>
      <c r="H53" s="138"/>
      <c r="I53" s="2479"/>
      <c r="J53" s="1809">
        <v>2</v>
      </c>
      <c r="K53" s="3242" t="s">
        <v>2213</v>
      </c>
      <c r="L53" s="3242"/>
      <c r="M53" s="1751">
        <f t="shared" ref="M53:O54" ca="1" si="0">D55</f>
        <v>136</v>
      </c>
      <c r="N53" s="1809" t="str">
        <f t="shared" si="0"/>
        <v>销售额×税（费）率</v>
      </c>
      <c r="O53" s="1752">
        <f t="shared" si="0"/>
        <v>5.0000000000000001E-4</v>
      </c>
    </row>
    <row r="54" spans="1:35" ht="12" customHeight="1">
      <c r="A54" s="183" t="s">
        <v>2214</v>
      </c>
      <c r="B54" s="3268" t="s">
        <v>2215</v>
      </c>
      <c r="C54" s="3269"/>
      <c r="D54" s="182">
        <f ca="1">C68</f>
        <v>14237</v>
      </c>
      <c r="E54" s="30" t="s">
        <v>2216</v>
      </c>
      <c r="F54" s="184">
        <f>'数据-取费表'!B41</f>
        <v>5.5000000000000007E-2</v>
      </c>
      <c r="G54" s="2481"/>
      <c r="H54" s="2482"/>
      <c r="I54" s="2479"/>
      <c r="J54" s="1809">
        <v>3</v>
      </c>
      <c r="K54" s="3242" t="s">
        <v>2217</v>
      </c>
      <c r="L54" s="3242"/>
      <c r="M54" s="1751">
        <f t="shared" ca="1" si="0"/>
        <v>154080</v>
      </c>
      <c r="N54" s="1809" t="str">
        <f t="shared" si="0"/>
        <v>增值额×税（费）率</v>
      </c>
      <c r="O54" s="1753" t="str">
        <f t="shared" si="0"/>
        <v>——</v>
      </c>
    </row>
    <row r="55" spans="1:35" ht="24" customHeight="1">
      <c r="A55" s="3306" t="s">
        <v>2218</v>
      </c>
      <c r="B55" s="3288"/>
      <c r="C55" s="3288"/>
      <c r="D55" s="185">
        <f ca="1">IF(H55="个人住宅",0,ROUND(D45*I55,0))</f>
        <v>136</v>
      </c>
      <c r="E55" s="11" t="s">
        <v>2219</v>
      </c>
      <c r="F55" s="184">
        <f>IF(H55="正常",I55,"免征")</f>
        <v>5.0000000000000001E-4</v>
      </c>
      <c r="G55" s="2481"/>
      <c r="H55" s="2478" t="s">
        <v>2220</v>
      </c>
      <c r="I55" s="186">
        <f>'数据-取费表'!B49</f>
        <v>5.0000000000000001E-4</v>
      </c>
      <c r="J55" s="1809" t="str">
        <f>IF(H59="非个人房产","",4)</f>
        <v/>
      </c>
      <c r="K55" s="3242" t="str">
        <f>IF(H59="非个人房产","——","个人所得税")</f>
        <v>——</v>
      </c>
      <c r="L55" s="3242"/>
      <c r="M55" s="1754" t="str">
        <f>D59</f>
        <v>——</v>
      </c>
      <c r="N55" s="1807" t="str">
        <f>E59</f>
        <v>——</v>
      </c>
      <c r="O55" s="1755" t="str">
        <f>F59</f>
        <v>——</v>
      </c>
    </row>
    <row r="56" spans="1:35" ht="24.75">
      <c r="A56" s="3306" t="s">
        <v>2221</v>
      </c>
      <c r="B56" s="3288"/>
      <c r="C56" s="3288"/>
      <c r="D56" s="185">
        <f ca="1">IF(H56="个人住宅",D57,D58)</f>
        <v>154080</v>
      </c>
      <c r="E56" s="11" t="s">
        <v>2222</v>
      </c>
      <c r="F56" s="184" t="str">
        <f>IF(H56="正常",F58,"免征")</f>
        <v>——</v>
      </c>
      <c r="G56" s="2483" t="s">
        <v>2223</v>
      </c>
      <c r="H56" s="2484" t="s">
        <v>2220</v>
      </c>
      <c r="I56" s="2485"/>
      <c r="J56" s="1809" t="str">
        <f>IF(项目基本情况!K6="上海银行",IF(J55="",4,J55+1),"")</f>
        <v/>
      </c>
      <c r="K56" s="3225" t="str">
        <f>IF(项目基本情况!K6="上海银行","其他处置费用","")</f>
        <v/>
      </c>
      <c r="L56" s="3226"/>
      <c r="M56" s="1751" t="str">
        <f>IF(项目基本情况!K6="上海银行",M69,"")</f>
        <v/>
      </c>
      <c r="N56" s="3228" t="str">
        <f>IF(项目基本情况!K6="上海银行","包含处置中涉及的律师、诉讼、拍卖、评估等费用","")</f>
        <v/>
      </c>
      <c r="O56" s="3229"/>
    </row>
    <row r="57" spans="1:35" ht="12.75">
      <c r="A57" s="183" t="s">
        <v>2196</v>
      </c>
      <c r="B57" s="3273" t="s">
        <v>2224</v>
      </c>
      <c r="C57" s="3274"/>
      <c r="D57" s="187">
        <v>0</v>
      </c>
      <c r="E57" s="23" t="s">
        <v>2198</v>
      </c>
      <c r="F57" s="155"/>
      <c r="G57" s="2481"/>
      <c r="H57" s="2485"/>
      <c r="I57" s="2485"/>
      <c r="J57" s="3242">
        <f>IF(AND(J55="",J56=""),4,IF(项目基本情况!K6="上海银行",结果表!J56+1,结果表!J55+1))</f>
        <v>4</v>
      </c>
      <c r="K57" s="3242" t="s">
        <v>2225</v>
      </c>
      <c r="L57" s="2486" t="s">
        <v>2226</v>
      </c>
      <c r="M57" s="1756"/>
      <c r="N57" s="1757">
        <f ca="1">SUMIF(M52:M56,"&lt;9e307")</f>
        <v>154216</v>
      </c>
      <c r="O57" s="2487"/>
      <c r="P57" s="1750">
        <f ca="1">N57/M49</f>
        <v>0.56740657343326306</v>
      </c>
    </row>
    <row r="58" spans="1:35" ht="24.75">
      <c r="A58" s="183" t="s">
        <v>2207</v>
      </c>
      <c r="B58" s="3273" t="s">
        <v>2227</v>
      </c>
      <c r="C58" s="3286"/>
      <c r="D58" s="185">
        <f ca="1">IF(H58="转让取得",C81,C97)</f>
        <v>154080</v>
      </c>
      <c r="E58" s="11" t="s">
        <v>2222</v>
      </c>
      <c r="F58" s="24" t="s">
        <v>34</v>
      </c>
      <c r="G58" s="2481"/>
      <c r="H58" s="2484" t="s">
        <v>2228</v>
      </c>
      <c r="I58" s="2485"/>
      <c r="J58" s="3242"/>
      <c r="K58" s="3242"/>
      <c r="L58" s="2486" t="s">
        <v>2229</v>
      </c>
      <c r="M58" s="1758"/>
      <c r="N58" s="2488" t="str">
        <f ca="1">NUMBERSTRING(INT(N57*10000),2)&amp;"元整"</f>
        <v>壹拾伍亿肆仟贰佰壹拾陆万元整</v>
      </c>
      <c r="O58" s="2489"/>
    </row>
    <row r="59" spans="1:35" ht="24.75" thickBot="1">
      <c r="A59" s="3246" t="s">
        <v>2230</v>
      </c>
      <c r="B59" s="3247"/>
      <c r="C59" s="3247"/>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244">
        <f>J57+1</f>
        <v>5</v>
      </c>
      <c r="K59" s="3242" t="s">
        <v>2232</v>
      </c>
      <c r="L59" s="1809" t="s">
        <v>2226</v>
      </c>
      <c r="M59" s="1759"/>
      <c r="N59" s="1760">
        <f ca="1">M49-N57</f>
        <v>117575</v>
      </c>
      <c r="O59" s="2491"/>
    </row>
    <row r="60" spans="1:35" ht="12" customHeight="1">
      <c r="A60" s="2492"/>
      <c r="B60" s="2414"/>
      <c r="C60" s="2414"/>
      <c r="D60" s="2414"/>
      <c r="E60" s="2164"/>
      <c r="F60" s="2485"/>
      <c r="G60" s="2485"/>
      <c r="H60" s="2493"/>
      <c r="I60" s="138"/>
      <c r="J60" s="3245"/>
      <c r="K60" s="3242"/>
      <c r="L60" s="2486" t="s">
        <v>2229</v>
      </c>
      <c r="M60" s="1758"/>
      <c r="N60" s="2488" t="str">
        <f ca="1">NUMBERSTRING(INT(N59*10000),2)&amp;"元整"</f>
        <v>壹拾壹亿柒仟伍佰柒拾伍万元整</v>
      </c>
      <c r="O60" s="2489"/>
    </row>
    <row r="61" spans="1:35" ht="13.5" thickBot="1">
      <c r="A61" s="3305" t="s">
        <v>2233</v>
      </c>
      <c r="B61" s="3305"/>
      <c r="C61" s="3305"/>
      <c r="D61" s="3305"/>
      <c r="E61" s="3305"/>
      <c r="F61" s="2485"/>
      <c r="G61" s="2485"/>
      <c r="H61" s="2493"/>
      <c r="I61" s="138"/>
      <c r="J61" s="1809">
        <f>J59+1</f>
        <v>6</v>
      </c>
      <c r="K61" s="3242" t="s">
        <v>2234</v>
      </c>
      <c r="L61" s="3242"/>
      <c r="M61" s="1761"/>
      <c r="N61" s="1762">
        <f ca="1">ROUND(N59*10000/'数据-汇总表'!E3,0)</f>
        <v>10019</v>
      </c>
      <c r="O61" s="2494"/>
    </row>
    <row r="62" spans="1:35" ht="12.75">
      <c r="A62" s="3262" t="s">
        <v>2235</v>
      </c>
      <c r="B62" s="3263"/>
      <c r="C62" s="1801"/>
      <c r="D62" s="1801" t="s">
        <v>2236</v>
      </c>
      <c r="E62" s="192" t="s">
        <v>2237</v>
      </c>
      <c r="F62" s="2485"/>
      <c r="G62" s="2485"/>
      <c r="H62" s="2493"/>
      <c r="I62" s="138"/>
    </row>
    <row r="63" spans="1:35" ht="12.75">
      <c r="A63" s="203" t="s">
        <v>775</v>
      </c>
      <c r="B63" s="193" t="s">
        <v>2238</v>
      </c>
      <c r="C63" s="194">
        <f ca="1">ROUND((C64+C65)/(1+'数据-取费表'!C42),0)</f>
        <v>258849</v>
      </c>
      <c r="D63" s="195"/>
      <c r="E63" s="196"/>
      <c r="F63" s="2485"/>
      <c r="G63" s="2485"/>
      <c r="H63" s="2493"/>
      <c r="I63" s="138"/>
      <c r="J63" s="3227" t="s">
        <v>2239</v>
      </c>
      <c r="K63" s="2495" t="s">
        <v>2240</v>
      </c>
      <c r="L63" s="1749">
        <f ca="1">IF(M49&gt;10000,M49*0.5%,IF(AND(M49&gt;1000,M49&lt;=10000),M49*1%,IF(AND(M49&gt;100,M49&lt;=1000),M49*3%,IF(AND(M49&gt;10,M49&lt;=100),M49*5%,M49*8%))))</f>
        <v>1358.9549999999999</v>
      </c>
      <c r="M63" s="24">
        <f ca="1">ROUND(L63,1)</f>
        <v>1359</v>
      </c>
      <c r="Z63" s="2419"/>
      <c r="AI63" s="2420"/>
    </row>
    <row r="64" spans="1:35" ht="14.25" customHeight="1">
      <c r="A64" s="197" t="s">
        <v>770</v>
      </c>
      <c r="B64" s="198" t="s">
        <v>2241</v>
      </c>
      <c r="C64" s="199">
        <f ca="1">D45</f>
        <v>271791</v>
      </c>
      <c r="D64" s="200" t="s">
        <v>32</v>
      </c>
      <c r="E64" s="201"/>
      <c r="F64" s="2485"/>
      <c r="G64" s="2485"/>
      <c r="H64" s="2493"/>
      <c r="I64" s="138"/>
      <c r="J64" s="3227"/>
      <c r="K64" s="2495" t="s">
        <v>2242</v>
      </c>
      <c r="L64" s="1749">
        <f ca="1">IF(M49&gt;2000,M49*0.5%,IF(AND(M49&gt;1000,M49&lt;=2000),M49*0.6%,IF(AND(M49&gt;500,M49&lt;=1000),M49*0.7%,IF(AND(M49&gt;200,M49&lt;=500),M49*0.8%,IF(AND(M49&gt;100,M49&lt;=200),M49*0.9%,IF(AND(M49&gt;50,M49&lt;=100),M49*1%,IF(AND(M49&gt;20,M49&lt;=50),M49*1.5%,IF(AND(M49&gt;10,M49&lt;=20),M49*2%,IF(AND(M49&gt;1,M49&lt;=10),M49*2.5%)))))))))</f>
        <v>1358.9549999999999</v>
      </c>
      <c r="M64" s="24">
        <f t="shared" ref="M64:M65" ca="1" si="1">ROUND(L64,1)</f>
        <v>1359</v>
      </c>
      <c r="N64" s="138" t="s">
        <v>2243</v>
      </c>
      <c r="Z64" s="2419"/>
      <c r="AI64" s="2420"/>
    </row>
    <row r="65" spans="1:35" ht="14.25" customHeight="1">
      <c r="A65" s="197" t="s">
        <v>771</v>
      </c>
      <c r="B65" s="198" t="s">
        <v>2244</v>
      </c>
      <c r="C65" s="202"/>
      <c r="D65" s="200"/>
      <c r="E65" s="201"/>
      <c r="F65" s="2485"/>
      <c r="G65" s="2485"/>
      <c r="H65" s="2493"/>
      <c r="I65" s="138"/>
      <c r="J65" s="3227"/>
      <c r="K65" s="2495" t="s">
        <v>2245</v>
      </c>
      <c r="L65" s="1749">
        <f ca="1">IF(M49&gt;1000,M49*0.1%,IF(AND(M49&gt;500,M49&lt;=1000),M49*0.5%,IF(AND(M49&gt;50,M49&lt;=500),M49*1%,IF(AND(M49&gt;1,M49&lt;=50),M49*1.5%))))</f>
        <v>271.791</v>
      </c>
      <c r="M65" s="24">
        <f t="shared" ca="1" si="1"/>
        <v>271.8</v>
      </c>
      <c r="N65" s="138" t="s">
        <v>2243</v>
      </c>
      <c r="Z65" s="2419"/>
      <c r="AI65" s="2420"/>
    </row>
    <row r="66" spans="1:35" ht="14.25" customHeight="1">
      <c r="A66" s="203" t="s">
        <v>772</v>
      </c>
      <c r="B66" s="204" t="s">
        <v>2246</v>
      </c>
      <c r="C66" s="205"/>
      <c r="D66" s="206" t="s">
        <v>32</v>
      </c>
      <c r="E66" s="1773" t="s">
        <v>1371</v>
      </c>
      <c r="F66" s="2485"/>
      <c r="G66" s="2485"/>
      <c r="H66" s="2493"/>
      <c r="I66" s="138"/>
      <c r="J66" s="3227"/>
      <c r="K66" s="2495" t="s">
        <v>2247</v>
      </c>
      <c r="L66" s="1749">
        <f ca="1">M49*0.5%</f>
        <v>1358.9549999999999</v>
      </c>
      <c r="M66" s="24">
        <f ca="1">IF(L66&gt;0.5,0.5,ROUND(L66,0))</f>
        <v>0.5</v>
      </c>
      <c r="N66" s="138" t="s">
        <v>2248</v>
      </c>
      <c r="Z66" s="2419"/>
      <c r="AI66" s="2420"/>
    </row>
    <row r="67" spans="1:35" ht="14.25" customHeight="1">
      <c r="A67" s="203" t="s">
        <v>773</v>
      </c>
      <c r="B67" s="204" t="s">
        <v>2249</v>
      </c>
      <c r="C67" s="207">
        <f ca="1">C63-C66</f>
        <v>258849</v>
      </c>
      <c r="D67" s="200" t="s">
        <v>32</v>
      </c>
      <c r="E67" s="201"/>
      <c r="F67" s="2485"/>
      <c r="G67" s="2485"/>
      <c r="H67" s="2493"/>
      <c r="I67" s="138"/>
      <c r="J67" s="3227"/>
      <c r="K67" s="2495" t="s">
        <v>2250</v>
      </c>
      <c r="L67" s="1749">
        <f ca="1">IF(M49&gt;=10000,(8.25+(M49-10000)*0.01%),IF(AND(M49&gt;=8000,M49&lt;10000),(7.85+(M49-8000)*0.02%),IF(AND(M49&gt;=5000,M49&lt;8000),(6.65+(M49-5000)*0.04%),IF(AND(M49&gt;=2000,M49&lt;5000),(4.25+(PM49-2000)*0.08%),IF(AND(M49&gt;=1000,M49&lt;2000),(2.75+(M49-1000)*0.15%),IF(AND(M49&gt;=100,M49&lt;1000),(0.5+(M49-100)*0.25%),IF(AND(M49&gt;0,M49&lt;100),M49*0.5%)))))))</f>
        <v>34.429100000000005</v>
      </c>
      <c r="M67" s="24">
        <f ca="1">ROUND(L67*0.9,1)</f>
        <v>31</v>
      </c>
      <c r="Z67" s="2419"/>
      <c r="AI67" s="2420"/>
    </row>
    <row r="68" spans="1:35" ht="14.25" customHeight="1" thickBot="1">
      <c r="A68" s="208" t="s">
        <v>774</v>
      </c>
      <c r="B68" s="209" t="s">
        <v>2251</v>
      </c>
      <c r="C68" s="210">
        <f ca="1">IF(C67&lt;=0,0,ROUND(C67*D68,0))</f>
        <v>14237</v>
      </c>
      <c r="D68" s="211">
        <f>'数据-取费表'!B41</f>
        <v>5.5000000000000007E-2</v>
      </c>
      <c r="E68" s="212"/>
      <c r="F68" s="2485"/>
      <c r="G68" s="2485"/>
      <c r="H68" s="2493"/>
      <c r="I68" s="138"/>
      <c r="J68" s="3227"/>
      <c r="K68" s="2495" t="s">
        <v>2252</v>
      </c>
      <c r="L68" s="1749">
        <f ca="1">IF(M49&gt;10000,M49*0.5%,IF(AND(M49&gt;5000,M49&lt;=10000),M49*1%,IF(AND(M49&gt;1000,M49&lt;=5000),M49*2%,IF(AND(M49&gt;200,M49&lt;=1000),M49*3%,M49*5%))))</f>
        <v>1358.9549999999999</v>
      </c>
      <c r="M68" s="24">
        <f ca="1">ROUND(L68,1)</f>
        <v>1359</v>
      </c>
      <c r="Z68" s="2419"/>
      <c r="AI68" s="2420"/>
    </row>
    <row r="69" spans="1:35" s="2442" customFormat="1" ht="16.5" customHeight="1">
      <c r="A69" s="2496"/>
      <c r="B69" s="2497"/>
      <c r="C69" s="2498"/>
      <c r="D69" s="2499"/>
      <c r="E69" s="2500"/>
      <c r="F69" s="2164"/>
      <c r="G69" s="2164"/>
      <c r="H69" s="2163"/>
      <c r="I69" s="2414"/>
      <c r="J69" s="3227"/>
      <c r="K69" s="2495" t="s">
        <v>2253</v>
      </c>
      <c r="L69" s="2501"/>
      <c r="M69" s="24">
        <f ca="1">ROUND(SUM(M63:M68),0)</f>
        <v>4380</v>
      </c>
      <c r="N69" s="1750">
        <f ca="1">M69/M49</f>
        <v>1.6115323906972637E-2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71" t="s">
        <v>2254</v>
      </c>
      <c r="B70" s="3272"/>
      <c r="C70" s="3272"/>
      <c r="D70" s="3272"/>
      <c r="E70" s="3272"/>
      <c r="F70" s="3272"/>
      <c r="G70" s="3272"/>
      <c r="H70" s="327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62" t="s">
        <v>2235</v>
      </c>
      <c r="B71" s="3263"/>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258849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1294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268" t="s">
        <v>2263</v>
      </c>
      <c r="F76" s="3267"/>
      <c r="G76" s="3267"/>
      <c r="H76" s="327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1294</v>
      </c>
      <c r="D78" s="226">
        <f>'数据-取费表'!B43</f>
        <v>5.000000000000001E-3</v>
      </c>
      <c r="E78" s="3259" t="s">
        <v>2268</v>
      </c>
      <c r="F78" s="3260"/>
      <c r="G78" s="3260"/>
      <c r="H78" s="326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257555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199.03786707882534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154080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71" t="s">
        <v>2272</v>
      </c>
      <c r="B83" s="3272"/>
      <c r="C83" s="3272"/>
      <c r="D83" s="3272"/>
      <c r="E83" s="3272"/>
      <c r="F83" s="3272"/>
      <c r="G83" s="3272"/>
      <c r="H83" s="327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62" t="s">
        <v>2235</v>
      </c>
      <c r="B84" s="3263"/>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258849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1294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259" t="s">
        <v>2281</v>
      </c>
      <c r="F91" s="3260"/>
      <c r="G91" s="3260"/>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259" t="s">
        <v>2285</v>
      </c>
      <c r="F92" s="3260"/>
      <c r="G92" s="3260"/>
      <c r="H92" s="326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1294</v>
      </c>
      <c r="D93" s="226">
        <f>'数据-取费表'!B43</f>
        <v>5.000000000000001E-3</v>
      </c>
      <c r="E93" s="3259" t="s">
        <v>2268</v>
      </c>
      <c r="F93" s="3260"/>
      <c r="G93" s="3260"/>
      <c r="H93" s="326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307" t="s">
        <v>2289</v>
      </c>
      <c r="F94" s="3308"/>
      <c r="G94" s="3308"/>
      <c r="H94" s="330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257555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199.03786707882534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154080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2290</v>
      </c>
      <c r="B99" s="2414"/>
      <c r="C99" s="2414"/>
      <c r="D99" s="2414"/>
      <c r="E99" s="2164"/>
      <c r="F99" s="2164"/>
      <c r="G99" s="2164"/>
      <c r="H99" s="2163"/>
      <c r="I99" s="138"/>
    </row>
    <row r="100" spans="1:35" ht="18.75" customHeight="1">
      <c r="A100" s="3211" t="s">
        <v>2291</v>
      </c>
      <c r="B100" s="3212"/>
      <c r="C100" s="3212"/>
      <c r="D100" s="3243"/>
      <c r="E100" s="3212" t="s">
        <v>2292</v>
      </c>
      <c r="F100" s="3212"/>
      <c r="G100" s="3212"/>
      <c r="H100" s="3243"/>
      <c r="I100" s="138"/>
    </row>
    <row r="101" spans="1:35" ht="18.75" customHeight="1">
      <c r="A101" s="3251" t="s">
        <v>2293</v>
      </c>
      <c r="B101" s="3252"/>
      <c r="C101" s="736" t="str">
        <f>C4</f>
        <v>成本法</v>
      </c>
      <c r="D101" s="737" t="str">
        <f>D4</f>
        <v>假设开发法</v>
      </c>
      <c r="E101" s="3223" t="s">
        <v>2294</v>
      </c>
      <c r="F101" s="3224"/>
      <c r="G101" s="2516" t="s">
        <v>2295</v>
      </c>
      <c r="H101" s="1045">
        <f ca="1">H118</f>
        <v>271791</v>
      </c>
      <c r="I101" s="138"/>
    </row>
    <row r="102" spans="1:35" ht="18.75" customHeight="1">
      <c r="A102" s="3253" t="s">
        <v>2296</v>
      </c>
      <c r="B102" s="2516" t="s">
        <v>2295</v>
      </c>
      <c r="C102" s="736">
        <f ca="1">C19</f>
        <v>225167</v>
      </c>
      <c r="D102" s="737">
        <f ca="1">D19</f>
        <v>302874</v>
      </c>
      <c r="E102" s="3223"/>
      <c r="F102" s="3224"/>
      <c r="G102" s="2516" t="s">
        <v>2297</v>
      </c>
      <c r="H102" s="371">
        <f ca="1">I118</f>
        <v>23161</v>
      </c>
      <c r="I102" s="138"/>
    </row>
    <row r="103" spans="1:35" ht="42.75" customHeight="1">
      <c r="A103" s="3253"/>
      <c r="B103" s="2516" t="s">
        <v>2297</v>
      </c>
      <c r="C103" s="738">
        <f ca="1">C20</f>
        <v>19188</v>
      </c>
      <c r="D103" s="739">
        <f ca="1">D20</f>
        <v>25810</v>
      </c>
      <c r="E103" s="3217" t="s">
        <v>2298</v>
      </c>
      <c r="F103" s="3218"/>
      <c r="G103" s="2517" t="s">
        <v>2299</v>
      </c>
      <c r="H103" s="1045">
        <f>IF(D36="正常操作",H104+H105+H106,H105+H106)</f>
        <v>0</v>
      </c>
      <c r="I103" s="138"/>
    </row>
    <row r="104" spans="1:35" ht="18.75" customHeight="1">
      <c r="A104" s="3253" t="s">
        <v>2300</v>
      </c>
      <c r="B104" s="2518" t="s">
        <v>2295</v>
      </c>
      <c r="C104" s="740">
        <f ca="1">H118</f>
        <v>271791</v>
      </c>
      <c r="D104" s="741"/>
      <c r="E104" s="2264" t="s">
        <v>2301</v>
      </c>
      <c r="F104" s="2256"/>
      <c r="G104" s="2517" t="s">
        <v>2299</v>
      </c>
      <c r="H104" s="1046">
        <f>IF(D36="同一抵押权人同一抵押物续贷",C36&amp;"（未扣减，详见特别提示）",C36)</f>
        <v>0</v>
      </c>
      <c r="I104" s="138"/>
    </row>
    <row r="105" spans="1:35" ht="18.75" customHeight="1" thickBot="1">
      <c r="A105" s="3265"/>
      <c r="B105" s="2519" t="s">
        <v>2297</v>
      </c>
      <c r="C105" s="742">
        <f ca="1">I118</f>
        <v>23161</v>
      </c>
      <c r="D105" s="743"/>
      <c r="E105" s="2264" t="s">
        <v>2302</v>
      </c>
      <c r="F105" s="2256"/>
      <c r="G105" s="2517" t="s">
        <v>2299</v>
      </c>
      <c r="H105" s="1046">
        <f>C37</f>
        <v>0</v>
      </c>
      <c r="I105" s="138"/>
    </row>
    <row r="106" spans="1:35" ht="18.75" customHeight="1">
      <c r="A106" s="2414" t="s">
        <v>2303</v>
      </c>
      <c r="B106" s="2414"/>
      <c r="C106" s="2414"/>
      <c r="D106" s="2414"/>
      <c r="E106" s="2520" t="s">
        <v>2304</v>
      </c>
      <c r="F106" s="2256"/>
      <c r="G106" s="2517" t="s">
        <v>2299</v>
      </c>
      <c r="H106" s="1046">
        <f>C38</f>
        <v>0</v>
      </c>
      <c r="I106" s="138"/>
    </row>
    <row r="107" spans="1:35" ht="18.75" customHeight="1">
      <c r="A107" s="138"/>
      <c r="B107" s="138"/>
      <c r="C107" s="138"/>
      <c r="D107" s="138"/>
      <c r="E107" s="3254" t="str">
        <f>IF(项目基本情况!E8="已注销","——","3.房地产抵押价值")</f>
        <v>3.房地产抵押价值</v>
      </c>
      <c r="F107" s="3224"/>
      <c r="G107" s="2516" t="s">
        <v>2295</v>
      </c>
      <c r="H107" s="1045">
        <f ca="1">IF(E107="——","——",H101-H103)</f>
        <v>271791</v>
      </c>
      <c r="I107" s="138"/>
    </row>
    <row r="108" spans="1:35" ht="18.75" customHeight="1">
      <c r="A108" s="138"/>
      <c r="B108" s="138"/>
      <c r="C108" s="138"/>
      <c r="D108" s="138"/>
      <c r="E108" s="3254"/>
      <c r="F108" s="3224"/>
      <c r="G108" s="2516" t="s">
        <v>2297</v>
      </c>
      <c r="H108" s="371">
        <f ca="1">ROUND(H107*10000/'数据-汇总表'!E3,0)</f>
        <v>23161</v>
      </c>
      <c r="I108" s="138"/>
    </row>
    <row r="109" spans="1:35" ht="18.75" customHeight="1">
      <c r="A109" s="138"/>
      <c r="B109" s="138"/>
      <c r="C109" s="138"/>
      <c r="D109" s="138"/>
      <c r="E109" s="3254" t="str">
        <f>IF(项目基本情况!E8="已注销及未注销","4.抵押担保权已注销时的房地产抵押价值",IF(项目基本情况!E8="已注销","3.抵押担保权已注销时的房地产抵押价值","——"))</f>
        <v>——</v>
      </c>
      <c r="F109" s="3224"/>
      <c r="G109" s="2516" t="s">
        <v>2295</v>
      </c>
      <c r="H109" s="348" t="str">
        <f>IF(E109="——","——",H101-H105-H106)</f>
        <v>——</v>
      </c>
      <c r="I109" s="138"/>
    </row>
    <row r="110" spans="1:35" ht="18.75" customHeight="1">
      <c r="A110" s="138"/>
      <c r="B110" s="138"/>
      <c r="C110" s="138"/>
      <c r="D110" s="138"/>
      <c r="E110" s="3254"/>
      <c r="F110" s="3224"/>
      <c r="G110" s="2516" t="s">
        <v>2297</v>
      </c>
      <c r="H110" s="371" t="str">
        <f>IF(H109="——","——",ROUND(H109*10000/'数据-汇总表'!E3,0))</f>
        <v>——</v>
      </c>
      <c r="I110" s="138"/>
    </row>
    <row r="111" spans="1:35" ht="18.75" customHeight="1">
      <c r="A111" s="138"/>
      <c r="B111" s="138"/>
      <c r="C111" s="138"/>
      <c r="D111" s="138"/>
      <c r="E111" s="3255" t="str">
        <f>IF(项目基本情况!E9="抵押净值",IF(OR(项目基本情况!E8="已注销",项目基本情况!E8="房地产抵押价值"),"4.抵押净值","5.抵押净值"),"——")</f>
        <v>——</v>
      </c>
      <c r="F111" s="3256"/>
      <c r="G111" s="2516" t="s">
        <v>2295</v>
      </c>
      <c r="H111" s="1045" t="str">
        <f>IF(E111="——","——",N59)</f>
        <v>——</v>
      </c>
      <c r="I111" s="138"/>
    </row>
    <row r="112" spans="1:35" ht="18.75" customHeight="1" thickBot="1">
      <c r="A112" s="138"/>
      <c r="B112" s="138"/>
      <c r="C112" s="138"/>
      <c r="D112" s="138"/>
      <c r="E112" s="3257"/>
      <c r="F112" s="3258"/>
      <c r="G112" s="2521" t="s">
        <v>2297</v>
      </c>
      <c r="H112" s="790" t="str">
        <f>IF(E111="——","——",N61)</f>
        <v>——</v>
      </c>
      <c r="I112" s="138"/>
    </row>
    <row r="113" spans="1:11" ht="18.75" customHeight="1">
      <c r="A113" s="138"/>
      <c r="B113" s="138"/>
      <c r="C113" s="138"/>
      <c r="D113" s="138"/>
      <c r="E113" s="3266" t="s">
        <v>2303</v>
      </c>
      <c r="F113" s="3266"/>
      <c r="G113" s="3266"/>
      <c r="H113" s="3266"/>
      <c r="I113" s="138"/>
    </row>
    <row r="114" spans="1:11" ht="3.75" customHeight="1">
      <c r="A114" s="2414"/>
      <c r="B114" s="2414"/>
      <c r="C114" s="2414"/>
      <c r="D114" s="2414"/>
      <c r="E114" s="2492"/>
      <c r="F114" s="2492"/>
      <c r="G114" s="2492"/>
      <c r="H114" s="2492"/>
      <c r="I114" s="2414"/>
    </row>
    <row r="115" spans="1:11" ht="18.75" customHeight="1">
      <c r="A115" s="3279" t="s">
        <v>2305</v>
      </c>
      <c r="B115" s="3280"/>
      <c r="C115" s="3280"/>
      <c r="D115" s="3280"/>
      <c r="E115" s="3280"/>
      <c r="F115" s="3280"/>
      <c r="G115" s="3280"/>
      <c r="H115" s="3280"/>
      <c r="I115" s="3281"/>
    </row>
    <row r="116" spans="1:11" ht="27" customHeight="1">
      <c r="A116" s="3171" t="s">
        <v>2306</v>
      </c>
      <c r="B116" s="3233" t="s">
        <v>2307</v>
      </c>
      <c r="C116" s="3233" t="s">
        <v>2308</v>
      </c>
      <c r="D116" s="3239" t="s">
        <v>2309</v>
      </c>
      <c r="E116" s="3240"/>
      <c r="F116" s="3275" t="s">
        <v>2310</v>
      </c>
      <c r="G116" s="3275"/>
      <c r="H116" s="3171" t="s">
        <v>2311</v>
      </c>
      <c r="I116" s="3171"/>
    </row>
    <row r="117" spans="1:11" ht="18.75" customHeight="1">
      <c r="A117" s="3171"/>
      <c r="B117" s="3234"/>
      <c r="C117" s="3234"/>
      <c r="D117" s="1795" t="s">
        <v>2312</v>
      </c>
      <c r="E117" s="1795" t="s">
        <v>2313</v>
      </c>
      <c r="F117" s="1795" t="s">
        <v>2312</v>
      </c>
      <c r="G117" s="1795" t="s">
        <v>2314</v>
      </c>
      <c r="H117" s="1795" t="s">
        <v>2312</v>
      </c>
      <c r="I117" s="1795" t="s">
        <v>2314</v>
      </c>
    </row>
    <row r="118" spans="1:11" ht="24.75" customHeight="1">
      <c r="A118" s="2522" t="str">
        <f>项目基本情况!S2</f>
        <v>北京市昌平区北七家镇GZT-05-1地块出让国有建设用地使用权及在建建筑物房地产</v>
      </c>
      <c r="B118" s="1795">
        <f>M18</f>
        <v>117348.15999999993</v>
      </c>
      <c r="C118" s="1795">
        <f>M19</f>
        <v>31136.97</v>
      </c>
      <c r="D118" s="1795">
        <f ca="1">ROUND(IF(D32="总价",C34,E118*B118/10000),0)</f>
        <v>239448</v>
      </c>
      <c r="E118" s="1795">
        <f ca="1">ROUND(IF(C33="自定义",IF(D32="楼面单价",C34,D118*10000/B118),I118-G118),0)</f>
        <v>20405</v>
      </c>
      <c r="F118" s="1795">
        <f ca="1">ROUND(IF(D32="总价",C35,G118*B118/10000),0)</f>
        <v>32343</v>
      </c>
      <c r="G118" s="1795">
        <f ca="1">ROUND(IF(D32="楼面单价",C35,F118*10000/B118),0)</f>
        <v>2756</v>
      </c>
      <c r="H118" s="1795">
        <f ca="1">ROUND(IF(D32="总价",C32,I118*B118/10000),0)</f>
        <v>271791</v>
      </c>
      <c r="I118" s="1795">
        <f ca="1">ROUND(IF(D32="楼面单价",C32,H118*10000/B118),0)</f>
        <v>23161</v>
      </c>
    </row>
    <row r="119" spans="1:11" ht="18.75" customHeight="1">
      <c r="A119" s="3171" t="s">
        <v>2315</v>
      </c>
      <c r="B119" s="3171"/>
      <c r="C119" s="3171"/>
      <c r="D119" s="3235" t="str">
        <f ca="1">NUMBERSTRING(INT(D118*10000),2)&amp;"元整"</f>
        <v>贰拾叁亿玖仟肆佰肆拾捌万元整</v>
      </c>
      <c r="E119" s="3236"/>
      <c r="F119" s="3235" t="str">
        <f ca="1">NUMBERSTRING(INT(F118*10000),2)&amp;"元整"</f>
        <v>叁亿贰仟叁佰肆拾叁万元整</v>
      </c>
      <c r="G119" s="3236"/>
      <c r="H119" s="3235" t="str">
        <f ca="1">NUMBERSTRING(INT(H118*10000),2)&amp;"元整"</f>
        <v>贰拾柒亿壹仟柒佰玖拾壹万元整</v>
      </c>
      <c r="I119" s="3236"/>
    </row>
    <row r="120" spans="1:11" ht="18.75" customHeight="1">
      <c r="A120" s="3230" t="str">
        <f>IF(项目基本情况!B9="房地产市场价值","",MID(E103,3,LEN(E103)-2))</f>
        <v>估价师知悉的法定优先受偿款</v>
      </c>
      <c r="B120" s="3231"/>
      <c r="C120" s="3232"/>
      <c r="D120" s="3230">
        <f>H103</f>
        <v>0</v>
      </c>
      <c r="E120" s="3231"/>
      <c r="F120" s="3231"/>
      <c r="G120" s="3231"/>
      <c r="H120" s="3231"/>
      <c r="I120" s="3232"/>
      <c r="K120" s="2419" t="str">
        <f>IF(D120=0,"故，本次评估不存在"&amp;A120,"故，本次评估"&amp;A120&amp;"为人民币"&amp;D120&amp;"万元整。")</f>
        <v>故，本次评估不存在估价师知悉的法定优先受偿款</v>
      </c>
    </row>
    <row r="121" spans="1:11" ht="18.75" customHeight="1">
      <c r="A121" s="3276" t="s">
        <v>2315</v>
      </c>
      <c r="B121" s="3277"/>
      <c r="C121" s="3278"/>
      <c r="D121" s="3235" t="str">
        <f>IF(D120=0,"零元整",NUMBERSTRING(INT(D120*10000),2)&amp;"元整")</f>
        <v>零元整</v>
      </c>
      <c r="E121" s="3237"/>
      <c r="F121" s="3237"/>
      <c r="G121" s="3237"/>
      <c r="H121" s="3237"/>
      <c r="I121" s="3236"/>
    </row>
    <row r="122" spans="1:11" ht="18.75" customHeight="1">
      <c r="A122" s="3241" t="str">
        <f>IF(项目基本情况!B9="房地产市场价值","",MID(E107,3,LEN(E107)-2))</f>
        <v>房地产抵押价值</v>
      </c>
      <c r="B122" s="3241"/>
      <c r="C122" s="3241"/>
      <c r="D122" s="3230">
        <f ca="1">H107</f>
        <v>271791</v>
      </c>
      <c r="E122" s="3231"/>
      <c r="F122" s="3231"/>
      <c r="G122" s="3231"/>
      <c r="H122" s="3231"/>
      <c r="I122" s="3232"/>
    </row>
    <row r="123" spans="1:11" ht="18.75" customHeight="1">
      <c r="A123" s="3171" t="s">
        <v>2315</v>
      </c>
      <c r="B123" s="3171"/>
      <c r="C123" s="3171"/>
      <c r="D123" s="3235" t="str">
        <f ca="1">NUMBERSTRING(INT(D122*10000),2)&amp;"元整"</f>
        <v>贰拾柒亿壹仟柒佰玖拾壹万元整</v>
      </c>
      <c r="E123" s="3237"/>
      <c r="F123" s="3237"/>
      <c r="G123" s="3237"/>
      <c r="H123" s="3237"/>
      <c r="I123" s="3236"/>
    </row>
    <row r="124" spans="1:11" ht="18.75" customHeight="1">
      <c r="A124" s="3241" t="str">
        <f>IF(项目基本情况!B9="房地产市场价值","",MID(E109,3,LEN(E109)-2))</f>
        <v/>
      </c>
      <c r="B124" s="3241"/>
      <c r="C124" s="3241"/>
      <c r="D124" s="3230" t="str">
        <f>H109</f>
        <v>——</v>
      </c>
      <c r="E124" s="3231"/>
      <c r="F124" s="3231"/>
      <c r="G124" s="3231"/>
      <c r="H124" s="3231"/>
      <c r="I124" s="3232"/>
    </row>
    <row r="125" spans="1:11" ht="18.75" customHeight="1">
      <c r="A125" s="3171" t="s">
        <v>2315</v>
      </c>
      <c r="B125" s="3171"/>
      <c r="C125" s="3171"/>
      <c r="D125" s="3235" t="e">
        <f>NUMBERSTRING(INT(D124*10000),2)&amp;"元整"</f>
        <v>#VALUE!</v>
      </c>
      <c r="E125" s="3237"/>
      <c r="F125" s="3237"/>
      <c r="G125" s="3237"/>
      <c r="H125" s="3237"/>
      <c r="I125" s="3236"/>
    </row>
    <row r="126" spans="1:11" ht="18.75" customHeight="1">
      <c r="A126" s="3241" t="str">
        <f>IF(项目基本情况!B9="房地产市场价值","",MID(E111,3,LEN(E111)-2))</f>
        <v/>
      </c>
      <c r="B126" s="3241"/>
      <c r="C126" s="3241"/>
      <c r="D126" s="3230" t="str">
        <f>H111</f>
        <v>——</v>
      </c>
      <c r="E126" s="3231"/>
      <c r="F126" s="3231"/>
      <c r="G126" s="3231"/>
      <c r="H126" s="3231"/>
      <c r="I126" s="3232"/>
    </row>
    <row r="127" spans="1:11" ht="18.75" customHeight="1">
      <c r="A127" s="3171" t="s">
        <v>2315</v>
      </c>
      <c r="B127" s="3171"/>
      <c r="C127" s="3171"/>
      <c r="D127" s="3235" t="e">
        <f>NUMBERSTRING(INT(D126*10000),2)&amp;"元整"</f>
        <v>#VALUE!</v>
      </c>
      <c r="E127" s="3237"/>
      <c r="F127" s="3237"/>
      <c r="G127" s="3237"/>
      <c r="H127" s="3237"/>
      <c r="I127" s="3236"/>
    </row>
    <row r="128" spans="1:11" ht="21.75" customHeight="1">
      <c r="A128" s="3238" t="s">
        <v>2316</v>
      </c>
      <c r="B128" s="3238"/>
      <c r="C128" s="3238"/>
      <c r="D128" s="3238"/>
      <c r="E128" s="3238"/>
      <c r="F128" s="3238"/>
      <c r="G128" s="3238"/>
      <c r="H128" s="3238"/>
      <c r="I128" s="3238"/>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05" t="str">
        <f>项目基本情况!B1</f>
        <v>北京市昌平区北七家镇GZT-05-1地块出让国有建设用地使用权及在建建筑物房地产抵押价值预评估</v>
      </c>
      <c r="C37" s="3105"/>
      <c r="D37" s="3105"/>
      <c r="E37" s="3105"/>
      <c r="F37" s="3105"/>
      <c r="G37" s="3105"/>
      <c r="H37" s="3105"/>
      <c r="I37" s="3105"/>
    </row>
    <row r="38" spans="1:9">
      <c r="A38" s="1016"/>
      <c r="B38" s="1016"/>
    </row>
    <row r="39" spans="1:9">
      <c r="A39" s="1014" t="s">
        <v>818</v>
      </c>
      <c r="B39" s="1014" t="s">
        <v>820</v>
      </c>
    </row>
    <row r="40" spans="1:9">
      <c r="A40" s="1014"/>
      <c r="B40" s="1942" t="str">
        <f>项目基本情况!B5</f>
        <v>北京文华盛达房地产开发有限公司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12</v>
      </c>
    </row>
    <row r="2" spans="1:9" s="244" customFormat="1" ht="18" customHeight="1">
      <c r="A2" s="245" t="s">
        <v>2325</v>
      </c>
      <c r="B2" s="246">
        <f ca="1">IF(D2="——",C52,C52-E2)</f>
        <v>225167</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19188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151589</v>
      </c>
      <c r="D5" s="255" t="s">
        <v>2332</v>
      </c>
      <c r="E5" s="256" t="s">
        <v>2333</v>
      </c>
      <c r="F5" s="256" t="s">
        <v>2334</v>
      </c>
      <c r="G5" s="257"/>
    </row>
    <row r="6" spans="1:9" s="258" customFormat="1" ht="13.5" customHeight="1">
      <c r="A6" s="949" t="s">
        <v>2335</v>
      </c>
      <c r="B6" s="259" t="s">
        <v>2336</v>
      </c>
      <c r="C6" s="260">
        <f>'土地比较法-住宅、综合'!B2</f>
        <v>147102</v>
      </c>
      <c r="D6" s="261"/>
      <c r="E6" s="262"/>
      <c r="F6" s="262"/>
      <c r="G6" s="263"/>
    </row>
    <row r="7" spans="1:9" s="258" customFormat="1" ht="13.5" customHeight="1">
      <c r="A7" s="949" t="s">
        <v>2337</v>
      </c>
      <c r="B7" s="259" t="s">
        <v>2338</v>
      </c>
      <c r="C7" s="264">
        <f>ROUND(C6*F7,0)</f>
        <v>4487</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8" t="s">
        <v>3248</v>
      </c>
    </row>
    <row r="9" spans="1:9" s="258" customFormat="1" ht="13.5" customHeight="1">
      <c r="A9" s="950" t="s">
        <v>800</v>
      </c>
      <c r="B9" s="268" t="s">
        <v>2341</v>
      </c>
      <c r="C9" s="269">
        <f ca="1">ROUND(D9*E9/10000,0)</f>
        <v>770</v>
      </c>
      <c r="D9" s="1032">
        <f ca="1">IF(B1="",'数据-汇总表'!E5,IF(INDIRECT("'数据-取费表'!c"&amp;$G$1)="住宅",INDIRECT("'数据-取费表'!k"&amp;$G$1),0))</f>
        <v>51317.149999999921</v>
      </c>
      <c r="E9" s="269">
        <f>'数据-取费表'!B27</f>
        <v>150</v>
      </c>
      <c r="F9" s="265"/>
      <c r="G9" s="2549"/>
      <c r="H9" s="1390"/>
      <c r="I9" s="2550" t="s">
        <v>2342</v>
      </c>
    </row>
    <row r="10" spans="1:9" s="258" customFormat="1" ht="13.5" customHeight="1">
      <c r="A10" s="950" t="s">
        <v>801</v>
      </c>
      <c r="B10" s="268" t="s">
        <v>2343</v>
      </c>
      <c r="C10" s="269">
        <f ca="1">ROUND(D10*E10/10000,0)</f>
        <v>1255</v>
      </c>
      <c r="D10" s="1032">
        <f ca="1">IF(B1="",'数据-汇总表'!E6,IF(INDIRECT("'数据-取费表'!c"&amp;$G$1)="住宅",INDIRECT("'数据-取费表'!s"&amp;$G$1),INDIRECT("'数据-取费表'!k"&amp;$G$1)+INDIRECT("'数据-取费表'!s"&amp;$G$1)))</f>
        <v>66031.010000000009</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117348.15999999993</v>
      </c>
      <c r="E19" s="255">
        <f>'数据-取费表'!B31</f>
        <v>90</v>
      </c>
      <c r="F19" s="275"/>
      <c r="G19" s="2548" t="s">
        <v>3249</v>
      </c>
    </row>
    <row r="20" spans="1:7" s="258" customFormat="1" ht="13.5" customHeight="1">
      <c r="A20" s="299" t="s">
        <v>2356</v>
      </c>
      <c r="B20" s="254" t="s">
        <v>2357</v>
      </c>
      <c r="C20" s="276">
        <f>ROUND((C5+C19)*F20,0)</f>
        <v>3032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14110</v>
      </c>
      <c r="D22" s="279">
        <f ca="1">C26</f>
        <v>8.9999999999999998E-4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13973</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137</v>
      </c>
      <c r="D25" s="282"/>
      <c r="E25" s="285"/>
      <c r="F25" s="283"/>
      <c r="G25" s="286" t="s">
        <v>2373</v>
      </c>
    </row>
    <row r="26" spans="1:7" s="258" customFormat="1">
      <c r="A26" s="951" t="s">
        <v>795</v>
      </c>
      <c r="B26" s="259" t="s">
        <v>2374</v>
      </c>
      <c r="C26" s="282">
        <f ca="1">ROUND(IF('数据-取费表'!B22&lt;=1,F21*F22*'数据-取费表'!B23/2,F21*(POWER((1+F22),'数据-取费表'!B23/2)-1)),4)</f>
        <v>8.9999999999999998E-4</v>
      </c>
      <c r="D26" s="282"/>
      <c r="E26" s="285"/>
      <c r="F26" s="283"/>
      <c r="G26" s="287"/>
    </row>
    <row r="27" spans="1:7" s="258" customFormat="1" ht="24.75">
      <c r="A27" s="299" t="s">
        <v>2375</v>
      </c>
      <c r="B27" s="288" t="s">
        <v>2376</v>
      </c>
      <c r="C27" s="289">
        <f ca="1">C28</f>
        <v>14689</v>
      </c>
      <c r="D27" s="279">
        <f ca="1">C29</f>
        <v>1.9E-3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14689</v>
      </c>
      <c r="D28" s="279"/>
      <c r="E28" s="280"/>
      <c r="F28" s="290"/>
      <c r="G28" s="291"/>
    </row>
    <row r="29" spans="1:7" s="258" customFormat="1" ht="13.5" customHeight="1">
      <c r="A29" s="951" t="s">
        <v>792</v>
      </c>
      <c r="B29" s="292" t="s">
        <v>2380</v>
      </c>
      <c r="C29" s="282">
        <f ca="1">ROUND(C21*F27*'数据-取费表'!B21/'数据-取费表'!B20,4)</f>
        <v>1.9E-3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198335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20333</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17474</v>
      </c>
      <c r="D34" s="261"/>
      <c r="E34" s="264"/>
      <c r="F34" s="301">
        <f ca="1">IF('数据-取费表'!B24=0,1,IF(B1="",'数据-取费表'!N16,INDIRECT("'数据-取费表'!n"&amp;$G$1)))</f>
        <v>0.63800000000000001</v>
      </c>
      <c r="G34" s="263" t="s">
        <v>2389</v>
      </c>
    </row>
    <row r="35" spans="1:7" ht="13.5" customHeight="1">
      <c r="A35" s="951" t="s">
        <v>796</v>
      </c>
      <c r="B35" s="259" t="s">
        <v>2390</v>
      </c>
      <c r="C35" s="264">
        <f ca="1">ROUND(C34*F35,0)</f>
        <v>524</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576</v>
      </c>
      <c r="D36" s="264"/>
      <c r="E36" s="264"/>
      <c r="F36" s="303">
        <f>'数据-取费表'!B34</f>
        <v>0.08</v>
      </c>
      <c r="G36" s="304" t="s">
        <v>2393</v>
      </c>
    </row>
    <row r="37" spans="1:7" s="302" customFormat="1" ht="13.5" customHeight="1">
      <c r="A37" s="951" t="s">
        <v>798</v>
      </c>
      <c r="B37" s="259" t="s">
        <v>2394</v>
      </c>
      <c r="C37" s="293">
        <f ca="1">ROUND(E37*D37*F34/10000,0)</f>
        <v>1497</v>
      </c>
      <c r="D37" s="261">
        <f ca="1">D19</f>
        <v>117348.15999999993</v>
      </c>
      <c r="E37" s="293">
        <f>'数据-取费表'!B35</f>
        <v>200</v>
      </c>
      <c r="F37" s="303"/>
      <c r="G37" s="305" t="s">
        <v>2395</v>
      </c>
    </row>
    <row r="38" spans="1:7" ht="13.5" customHeight="1">
      <c r="A38" s="951" t="s">
        <v>799</v>
      </c>
      <c r="B38" s="259" t="s">
        <v>2396</v>
      </c>
      <c r="C38" s="264">
        <f ca="1">ROUND(C34*F38,0)</f>
        <v>262</v>
      </c>
      <c r="D38" s="264"/>
      <c r="E38" s="264"/>
      <c r="F38" s="303">
        <f>'数据-取费表'!B36</f>
        <v>1.4999999999999999E-2</v>
      </c>
      <c r="G38" s="263" t="s">
        <v>2391</v>
      </c>
    </row>
    <row r="39" spans="1:7" s="258" customFormat="1" ht="13.5" customHeight="1">
      <c r="A39" s="299" t="s">
        <v>2397</v>
      </c>
      <c r="B39" s="254" t="s">
        <v>2398</v>
      </c>
      <c r="C39" s="276">
        <f ca="1">ROUND(C33*F20,0)</f>
        <v>407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934</v>
      </c>
      <c r="D41" s="279">
        <f ca="1">C44</f>
        <v>8.9999999999999998E-4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916</v>
      </c>
      <c r="D42" s="282"/>
      <c r="E42" s="282"/>
      <c r="F42" s="283"/>
      <c r="G42" s="3310" t="s">
        <v>2407</v>
      </c>
    </row>
    <row r="43" spans="1:7" ht="13.5" customHeight="1">
      <c r="A43" s="951" t="s">
        <v>792</v>
      </c>
      <c r="B43" s="259" t="s">
        <v>2408</v>
      </c>
      <c r="C43" s="282">
        <f ca="1">ROUND(IF('数据-取费表'!B22&lt;=1,C39*F22*'数据-取费表'!B21/2,C39*(POWER((1+F22),'数据-取费表'!B21/2)-1)),0)</f>
        <v>18</v>
      </c>
      <c r="D43" s="282"/>
      <c r="E43" s="282"/>
      <c r="F43" s="283"/>
      <c r="G43" s="3311"/>
    </row>
    <row r="44" spans="1:7" ht="13.5" customHeight="1">
      <c r="A44" s="951" t="s">
        <v>793</v>
      </c>
      <c r="B44" s="259" t="s">
        <v>2409</v>
      </c>
      <c r="C44" s="282">
        <f ca="1">ROUND(IF('数据-取费表'!B22&lt;=1,C40*F22*'数据-取费表'!B21/2,C40*(POWER((1+F22),'数据-取费表'!B21/2)-1)),4)</f>
        <v>8.9999999999999998E-4</v>
      </c>
      <c r="D44" s="282"/>
      <c r="E44" s="282"/>
      <c r="F44" s="283"/>
      <c r="G44" s="3312"/>
    </row>
    <row r="45" spans="1:7" s="258" customFormat="1" ht="13.5" customHeight="1">
      <c r="A45" s="299" t="s">
        <v>2410</v>
      </c>
      <c r="B45" s="288" t="s">
        <v>2376</v>
      </c>
      <c r="C45" s="289">
        <f ca="1">C46</f>
        <v>3111</v>
      </c>
      <c r="D45" s="279">
        <f ca="1">C47</f>
        <v>3.0000000000000001E-3</v>
      </c>
      <c r="E45" s="280" t="s">
        <v>2402</v>
      </c>
      <c r="F45" s="290"/>
      <c r="G45" s="291" t="s">
        <v>2411</v>
      </c>
    </row>
    <row r="46" spans="1:7" s="258" customFormat="1" ht="13.5" customHeight="1">
      <c r="A46" s="951" t="s">
        <v>791</v>
      </c>
      <c r="B46" s="292" t="s">
        <v>2412</v>
      </c>
      <c r="C46" s="293">
        <f ca="1">ROUND((C33+C39)*F27,0)</f>
        <v>3111</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26832</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26832</v>
      </c>
      <c r="D51" s="276"/>
      <c r="E51" s="276"/>
      <c r="F51" s="308"/>
      <c r="G51" s="278" t="s">
        <v>2423</v>
      </c>
    </row>
    <row r="52" spans="1:7" s="252" customFormat="1" ht="16.5" thickBot="1">
      <c r="A52" s="309" t="s">
        <v>2424</v>
      </c>
      <c r="B52" s="310"/>
      <c r="C52" s="311">
        <f ca="1">C31+C51</f>
        <v>225167</v>
      </c>
      <c r="D52" s="310"/>
      <c r="E52" s="310"/>
      <c r="F52" s="310"/>
      <c r="G52" s="312"/>
    </row>
    <row r="55" spans="1:7" ht="15">
      <c r="B55" s="314" t="s">
        <v>2425</v>
      </c>
      <c r="C55" s="315"/>
    </row>
    <row r="56" spans="1:7">
      <c r="B56" s="317" t="s">
        <v>1514</v>
      </c>
      <c r="C56" s="319">
        <f ca="1">1-C57</f>
        <v>0.88100000000000001</v>
      </c>
    </row>
    <row r="57" spans="1:7">
      <c r="B57" s="317" t="s">
        <v>1515</v>
      </c>
      <c r="C57" s="318">
        <f ca="1">ROUND(C51/C52,3)</f>
        <v>0.11899999999999999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12</v>
      </c>
      <c r="H1" s="1282" t="str">
        <f>IF(ISERROR(FIND("住宅",B1)),"非住宅","住宅")</f>
        <v>非住宅</v>
      </c>
    </row>
    <row r="2" spans="1:8" s="244" customFormat="1" ht="18" customHeight="1">
      <c r="A2" s="245" t="s">
        <v>2325</v>
      </c>
      <c r="B2" s="246">
        <f ca="1">ROUND(IF(D2="——",C52/10000,C52/10000-E2),0)</f>
        <v>47634</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4059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20243464</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20243464</v>
      </c>
      <c r="D8" s="266"/>
      <c r="E8" s="264"/>
      <c r="F8" s="265"/>
      <c r="G8" s="2548"/>
    </row>
    <row r="9" spans="1:8" s="258" customFormat="1" ht="13.5" customHeight="1">
      <c r="A9" s="950" t="s">
        <v>800</v>
      </c>
      <c r="B9" s="268" t="s">
        <v>2341</v>
      </c>
      <c r="C9" s="269">
        <f ca="1">ROUND(D9*E9,0)</f>
        <v>7697572</v>
      </c>
      <c r="D9" s="1032">
        <f ca="1">IF(B1="",'数据-汇总表'!E5,IF(INDIRECT("'数据-取费表'!c"&amp;$G$1)="住宅",INDIRECT("'数据-取费表'!k"&amp;$G$1),0))</f>
        <v>51317.149999999921</v>
      </c>
      <c r="E9" s="269">
        <f>'数据-取费表'!B27</f>
        <v>150</v>
      </c>
      <c r="F9" s="265"/>
      <c r="G9" s="270"/>
    </row>
    <row r="10" spans="1:8" s="258" customFormat="1" ht="13.5" customHeight="1">
      <c r="A10" s="950" t="s">
        <v>801</v>
      </c>
      <c r="B10" s="268" t="s">
        <v>2343</v>
      </c>
      <c r="C10" s="269">
        <f ca="1">ROUND(D10*E10,0)</f>
        <v>12545892</v>
      </c>
      <c r="D10" s="1032">
        <f ca="1">IF(B1="",'数据-汇总表'!E6,IF(INDIRECT("'数据-取费表'!c"&amp;$G$1)="住宅",INDIRECT("'数据-取费表'!s"&amp;$G$1),INDIRECT("'数据-取费表'!k"&amp;$G$1)+INDIRECT("'数据-取费表'!s"&amp;$G$1)))</f>
        <v>66031.010000000009</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10561334</v>
      </c>
      <c r="D19" s="1036">
        <f ca="1">D9+D10</f>
        <v>117348.15999999993</v>
      </c>
      <c r="E19" s="255">
        <f>'数据-取费表'!B31</f>
        <v>90</v>
      </c>
      <c r="F19" s="275"/>
      <c r="G19" s="2548"/>
    </row>
    <row r="20" spans="1:7" s="258" customFormat="1" ht="13.5" customHeight="1">
      <c r="A20" s="299" t="s">
        <v>2437</v>
      </c>
      <c r="B20" s="254" t="s">
        <v>2438</v>
      </c>
      <c r="C20" s="276">
        <f ca="1">ROUND((C5+C19)*F20,0)</f>
        <v>616096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4645909</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3023886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1577609</v>
      </c>
      <c r="D24" s="282"/>
      <c r="E24" s="282"/>
      <c r="F24" s="283"/>
      <c r="G24" s="284" t="s">
        <v>2449</v>
      </c>
    </row>
    <row r="25" spans="1:7" s="258" customFormat="1" ht="24">
      <c r="A25" s="951" t="s">
        <v>2339</v>
      </c>
      <c r="B25" s="259" t="s">
        <v>2450</v>
      </c>
      <c r="C25" s="1381">
        <f ca="1">ROUND(IF('数据-取费表'!B22&lt;=1,C20*F22*'数据-取费表'!B22/2,C20*(POWER((1+F22),'数据-取费表'!B22/2)-1)),0)</f>
        <v>44414</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4713134</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4713134</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44172375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320067786</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273783164</v>
      </c>
      <c r="D34" s="261"/>
      <c r="E34" s="264"/>
      <c r="F34" s="301"/>
      <c r="G34" s="263"/>
    </row>
    <row r="35" spans="1:7" ht="13.5" customHeight="1">
      <c r="A35" s="951" t="s">
        <v>796</v>
      </c>
      <c r="B35" s="259" t="s">
        <v>2390</v>
      </c>
      <c r="C35" s="264">
        <f ca="1">ROUND(C34*F35,0)</f>
        <v>8213495</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10494748</v>
      </c>
      <c r="D36" s="264"/>
      <c r="E36" s="264"/>
      <c r="F36" s="303">
        <f>'数据-取费表'!B34</f>
        <v>0.08</v>
      </c>
      <c r="G36" s="304" t="s">
        <v>2393</v>
      </c>
    </row>
    <row r="37" spans="1:7" s="302" customFormat="1" ht="13.5" customHeight="1">
      <c r="A37" s="951" t="s">
        <v>798</v>
      </c>
      <c r="B37" s="259" t="s">
        <v>2394</v>
      </c>
      <c r="C37" s="293">
        <f ca="1">ROUND(E37*D37,0)</f>
        <v>23469632</v>
      </c>
      <c r="D37" s="261">
        <f ca="1">D19</f>
        <v>117348.15999999993</v>
      </c>
      <c r="E37" s="293">
        <f>'数据-取费表'!B35</f>
        <v>200</v>
      </c>
      <c r="F37" s="303"/>
      <c r="G37" s="305"/>
    </row>
    <row r="38" spans="1:7" ht="13.5" customHeight="1">
      <c r="A38" s="951" t="s">
        <v>799</v>
      </c>
      <c r="B38" s="259" t="s">
        <v>2396</v>
      </c>
      <c r="C38" s="264">
        <f ca="1">ROUND(C34*F38,0)</f>
        <v>4106747</v>
      </c>
      <c r="D38" s="264"/>
      <c r="E38" s="264"/>
      <c r="F38" s="303">
        <f>'数据-取费表'!B36</f>
        <v>1.4999999999999999E-2</v>
      </c>
      <c r="G38" s="263" t="s">
        <v>2391</v>
      </c>
    </row>
    <row r="39" spans="1:7" s="258" customFormat="1" ht="13.5" customHeight="1">
      <c r="A39" s="299" t="s">
        <v>2397</v>
      </c>
      <c r="B39" s="254" t="s">
        <v>2398</v>
      </c>
      <c r="C39" s="276">
        <f ca="1">ROUND(C33*F20,0)</f>
        <v>6401356</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23535002</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23073531</v>
      </c>
      <c r="D42" s="282"/>
      <c r="E42" s="282"/>
      <c r="F42" s="283"/>
      <c r="G42" s="3310" t="s">
        <v>2454</v>
      </c>
    </row>
    <row r="43" spans="1:7" ht="13.5" customHeight="1">
      <c r="A43" s="951" t="s">
        <v>792</v>
      </c>
      <c r="B43" s="259" t="s">
        <v>2408</v>
      </c>
      <c r="C43" s="282">
        <f ca="1">ROUND(IF('数据-取费表'!B22&lt;=1,C39*F22*'数据-取费表'!B20/2,C39*(POWER((1+F22),'数据-取费表'!B20/2)-1)),0)</f>
        <v>461471</v>
      </c>
      <c r="D43" s="282"/>
      <c r="E43" s="282"/>
      <c r="F43" s="283"/>
      <c r="G43" s="3311"/>
    </row>
    <row r="44" spans="1:7" ht="13.5" customHeight="1">
      <c r="A44" s="951" t="s">
        <v>793</v>
      </c>
      <c r="B44" s="259" t="s">
        <v>2409</v>
      </c>
      <c r="C44" s="282">
        <f ca="1">ROUND(IF('数据-取费表'!B22&lt;=1,C40*F22*'数据-取费表'!B20/2,C40*(POWER((1+F22),'数据-取费表'!B20/2)-1)),4)</f>
        <v>1.4E-3</v>
      </c>
      <c r="D44" s="282"/>
      <c r="E44" s="282"/>
      <c r="F44" s="283"/>
      <c r="G44" s="3312"/>
    </row>
    <row r="45" spans="1:7" s="258" customFormat="1" ht="13.5" customHeight="1">
      <c r="A45" s="299" t="s">
        <v>2410</v>
      </c>
      <c r="B45" s="288" t="s">
        <v>2376</v>
      </c>
      <c r="C45" s="289">
        <f ca="1">C46</f>
        <v>48970371</v>
      </c>
      <c r="D45" s="279">
        <f ca="1">C47</f>
        <v>3.0000000000000001E-3</v>
      </c>
      <c r="E45" s="280" t="s">
        <v>2402</v>
      </c>
      <c r="F45" s="290"/>
      <c r="G45" s="291" t="s">
        <v>2411</v>
      </c>
    </row>
    <row r="46" spans="1:7" s="258" customFormat="1" ht="13.5" customHeight="1">
      <c r="A46" s="951" t="s">
        <v>791</v>
      </c>
      <c r="B46" s="292" t="s">
        <v>2412</v>
      </c>
      <c r="C46" s="293">
        <f ca="1">ROUND((C33+C39)*F27,0)</f>
        <v>48970371</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432164769</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432164769</v>
      </c>
      <c r="D51" s="276"/>
      <c r="E51" s="276"/>
      <c r="F51" s="308"/>
      <c r="G51" s="278" t="s">
        <v>2423</v>
      </c>
    </row>
    <row r="52" spans="1:7" s="252" customFormat="1" ht="16.5" thickBot="1">
      <c r="A52" s="309" t="s">
        <v>2424</v>
      </c>
      <c r="B52" s="310"/>
      <c r="C52" s="311">
        <f ca="1">C31+C51</f>
        <v>476337144</v>
      </c>
      <c r="D52" s="310"/>
      <c r="E52" s="310"/>
      <c r="F52" s="310"/>
      <c r="G52" s="312"/>
    </row>
    <row r="55" spans="1:7" ht="15">
      <c r="B55" s="314" t="s">
        <v>2425</v>
      </c>
      <c r="C55" s="315"/>
    </row>
    <row r="56" spans="1:7">
      <c r="B56" s="317" t="s">
        <v>1514</v>
      </c>
      <c r="C56" s="319">
        <f ca="1">1-C57</f>
        <v>9.2999999999999972E-2</v>
      </c>
    </row>
    <row r="57" spans="1:7">
      <c r="B57" s="317" t="s">
        <v>1515</v>
      </c>
      <c r="C57" s="318">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D39" sqref="D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147102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12536</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331" t="s">
        <v>2641</v>
      </c>
      <c r="D4" s="3332"/>
      <c r="E4" s="3333" t="s">
        <v>2642</v>
      </c>
      <c r="F4" s="3334"/>
      <c r="G4" s="3331" t="s">
        <v>2643</v>
      </c>
      <c r="H4" s="3332"/>
      <c r="I4" s="3331" t="s">
        <v>2644</v>
      </c>
      <c r="J4" s="3332"/>
      <c r="K4" s="610" t="s">
        <v>2645</v>
      </c>
      <c r="L4" s="1130"/>
      <c r="M4" s="1131"/>
      <c r="N4" s="1131"/>
      <c r="O4" s="1131"/>
      <c r="P4" s="3335" t="s">
        <v>2646</v>
      </c>
      <c r="Q4" s="3336"/>
      <c r="R4" s="3318" t="s">
        <v>2642</v>
      </c>
      <c r="S4" s="3319"/>
      <c r="T4" s="3318" t="s">
        <v>2643</v>
      </c>
      <c r="U4" s="3319"/>
      <c r="V4" s="3343" t="s">
        <v>2644</v>
      </c>
      <c r="W4" s="3343"/>
      <c r="X4" s="1813"/>
      <c r="Y4" s="3318" t="s">
        <v>2646</v>
      </c>
      <c r="Z4" s="3319"/>
      <c r="AA4" s="3313" t="s">
        <v>2642</v>
      </c>
      <c r="AB4" s="3314" t="s">
        <v>2643</v>
      </c>
      <c r="AC4" s="3313" t="s">
        <v>2644</v>
      </c>
    </row>
    <row r="5" spans="1:30" ht="36" customHeight="1">
      <c r="A5" s="404"/>
      <c r="B5" s="405"/>
      <c r="C5" s="3324" t="s">
        <v>3227</v>
      </c>
      <c r="D5" s="3325"/>
      <c r="E5" s="3322" t="s">
        <v>3222</v>
      </c>
      <c r="F5" s="3323"/>
      <c r="G5" s="3324" t="s">
        <v>3223</v>
      </c>
      <c r="H5" s="3325"/>
      <c r="I5" s="3324" t="s">
        <v>3224</v>
      </c>
      <c r="J5" s="3325"/>
      <c r="K5" s="610"/>
      <c r="L5" s="1130"/>
      <c r="M5" s="1131"/>
      <c r="N5" s="1131"/>
      <c r="O5" s="1131"/>
      <c r="P5" s="3337"/>
      <c r="Q5" s="3338"/>
      <c r="R5" s="3320"/>
      <c r="S5" s="3321"/>
      <c r="T5" s="3320"/>
      <c r="U5" s="3321"/>
      <c r="V5" s="3343"/>
      <c r="W5" s="3343"/>
      <c r="X5" s="1813"/>
      <c r="Y5" s="3320"/>
      <c r="Z5" s="3321"/>
      <c r="AA5" s="3314"/>
      <c r="AB5" s="3314"/>
      <c r="AC5" s="3314"/>
    </row>
    <row r="6" spans="1:30" ht="15.75" thickBot="1">
      <c r="A6" s="406"/>
      <c r="B6" s="407"/>
      <c r="C6" s="3326" t="s">
        <v>3225</v>
      </c>
      <c r="D6" s="3327"/>
      <c r="E6" s="3328" t="s">
        <v>3226</v>
      </c>
      <c r="F6" s="3329"/>
      <c r="G6" s="3328" t="s">
        <v>3226</v>
      </c>
      <c r="H6" s="3329"/>
      <c r="I6" s="3326" t="s">
        <v>3225</v>
      </c>
      <c r="J6" s="3327"/>
      <c r="K6" s="610" t="s">
        <v>2542</v>
      </c>
      <c r="L6" s="1130"/>
      <c r="M6" s="1131"/>
      <c r="N6" s="1131"/>
      <c r="O6" s="1131"/>
      <c r="P6" s="3339"/>
      <c r="Q6" s="3340"/>
      <c r="R6" s="3320"/>
      <c r="S6" s="3321"/>
      <c r="T6" s="3341"/>
      <c r="U6" s="3342"/>
      <c r="V6" s="3343"/>
      <c r="W6" s="3343"/>
      <c r="X6" s="1813"/>
      <c r="Y6" s="3341"/>
      <c r="Z6" s="3342"/>
      <c r="AA6" s="3315"/>
      <c r="AB6" s="3315"/>
      <c r="AC6" s="3315"/>
    </row>
    <row r="7" spans="1:30" s="117" customFormat="1" ht="15.75" thickBot="1">
      <c r="A7" s="408" t="s">
        <v>2543</v>
      </c>
      <c r="B7" s="409"/>
      <c r="C7" s="410">
        <f>'数据-取费表'!B2</f>
        <v>43111</v>
      </c>
      <c r="D7" s="411">
        <v>100</v>
      </c>
      <c r="E7" s="412">
        <v>42495</v>
      </c>
      <c r="F7" s="413">
        <f>SUMIF(70:70,YEAR(E7)&amp;"-"&amp;INT((MONTH(E7)+2)/3),71:71)</f>
        <v>93</v>
      </c>
      <c r="G7" s="412">
        <v>42495</v>
      </c>
      <c r="H7" s="411">
        <f>SUMIF(70:70,YEAR(G7)&amp;"-"&amp;INT((MONTH(G7)+2)/3),71:71)</f>
        <v>93</v>
      </c>
      <c r="I7" s="2692">
        <v>42941</v>
      </c>
      <c r="J7" s="411">
        <f>SUMIF(70:70,YEAR(I7)&amp;"-"&amp;INT((MONTH(I7)+2)/3),71:71)</f>
        <v>98</v>
      </c>
      <c r="K7" s="611"/>
      <c r="L7" s="1132"/>
      <c r="M7" s="1133"/>
      <c r="N7" s="1133"/>
      <c r="O7" s="1133"/>
      <c r="P7" s="3316" t="s">
        <v>2544</v>
      </c>
      <c r="Q7" s="3344"/>
      <c r="R7" s="770" t="s">
        <v>17</v>
      </c>
      <c r="S7" s="771">
        <f t="shared" ref="S7:S15" si="0">F7</f>
        <v>93</v>
      </c>
      <c r="T7" s="770" t="s">
        <v>17</v>
      </c>
      <c r="U7" s="771">
        <f t="shared" ref="U7:U15" si="1">H7</f>
        <v>93</v>
      </c>
      <c r="V7" s="770" t="s">
        <v>17</v>
      </c>
      <c r="W7" s="771">
        <f t="shared" ref="W7:W15" si="2">J7</f>
        <v>98</v>
      </c>
      <c r="X7" s="772"/>
      <c r="Y7" s="3316" t="s">
        <v>2544</v>
      </c>
      <c r="Z7" s="3317"/>
      <c r="AA7" s="773">
        <f>D7/F7</f>
        <v>1.075268817204301</v>
      </c>
      <c r="AB7" s="773">
        <f>D7/H7</f>
        <v>1.075268817204301</v>
      </c>
      <c r="AC7" s="773">
        <f>D7/J7</f>
        <v>1.0204081632653061</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316" t="s">
        <v>2547</v>
      </c>
      <c r="Q8" s="3317"/>
      <c r="R8" s="770" t="s">
        <v>17</v>
      </c>
      <c r="S8" s="771">
        <f t="shared" si="0"/>
        <v>100</v>
      </c>
      <c r="T8" s="770" t="s">
        <v>17</v>
      </c>
      <c r="U8" s="771">
        <f t="shared" si="1"/>
        <v>100</v>
      </c>
      <c r="V8" s="770" t="s">
        <v>17</v>
      </c>
      <c r="W8" s="771">
        <f t="shared" si="2"/>
        <v>100</v>
      </c>
      <c r="X8" s="772"/>
      <c r="Y8" s="3316" t="s">
        <v>2547</v>
      </c>
      <c r="Z8" s="3317"/>
      <c r="AA8" s="773">
        <f t="shared" ref="AA8:AA45" si="3">D8/F8</f>
        <v>1</v>
      </c>
      <c r="AB8" s="773">
        <f t="shared" ref="AB8:AB45" si="4">D8/H8</f>
        <v>1</v>
      </c>
      <c r="AC8" s="773">
        <f t="shared" ref="AC8:AC45" si="5">D8/J8</f>
        <v>1</v>
      </c>
    </row>
    <row r="9" spans="1:30" s="117" customFormat="1">
      <c r="A9" s="415" t="s">
        <v>2548</v>
      </c>
      <c r="B9" s="71" t="s">
        <v>2549</v>
      </c>
      <c r="C9" s="2695" t="s">
        <v>3151</v>
      </c>
      <c r="D9" s="135">
        <v>100</v>
      </c>
      <c r="E9" s="2695" t="s">
        <v>3151</v>
      </c>
      <c r="F9" s="135">
        <f>SUMIF(75:75,E9,76:76)-SUMIF(75:75,C9,76:76)+100</f>
        <v>100</v>
      </c>
      <c r="G9" s="2695" t="s">
        <v>3151</v>
      </c>
      <c r="H9" s="135">
        <f>SUMIF(75:75,G9,76:76)-SUMIF(75:75,C9,76:76)+100</f>
        <v>100</v>
      </c>
      <c r="I9" s="2695" t="s">
        <v>3151</v>
      </c>
      <c r="J9" s="135">
        <f>SUMIF(75:75,I9,76:76)-SUMIF(75:75,C9,76:76)+100</f>
        <v>100</v>
      </c>
      <c r="K9" s="611"/>
      <c r="L9" s="1132"/>
      <c r="M9" s="1133"/>
      <c r="N9" s="1133"/>
      <c r="O9" s="1134"/>
      <c r="P9" s="3330" t="s">
        <v>2550</v>
      </c>
      <c r="Q9" s="1795" t="str">
        <f t="shared" ref="Q9:Q15" si="6">B9</f>
        <v>用途</v>
      </c>
      <c r="R9" s="770" t="s">
        <v>17</v>
      </c>
      <c r="S9" s="771">
        <f t="shared" si="0"/>
        <v>100</v>
      </c>
      <c r="T9" s="770" t="s">
        <v>17</v>
      </c>
      <c r="U9" s="771">
        <f t="shared" si="1"/>
        <v>100</v>
      </c>
      <c r="V9" s="770" t="s">
        <v>17</v>
      </c>
      <c r="W9" s="771">
        <f t="shared" si="2"/>
        <v>100</v>
      </c>
      <c r="X9" s="772"/>
      <c r="Y9" s="3171" t="s">
        <v>2551</v>
      </c>
      <c r="Z9" s="55" t="str">
        <f t="shared" ref="Z9:Z15" si="7">Q9</f>
        <v>用途</v>
      </c>
      <c r="AA9" s="773">
        <f t="shared" si="3"/>
        <v>1</v>
      </c>
      <c r="AB9" s="773">
        <f t="shared" si="4"/>
        <v>1</v>
      </c>
      <c r="AC9" s="773">
        <f t="shared" si="5"/>
        <v>1</v>
      </c>
    </row>
    <row r="10" spans="1:30" s="427" customFormat="1" ht="27">
      <c r="A10" s="421"/>
      <c r="B10" s="422" t="s">
        <v>2552</v>
      </c>
      <c r="C10" s="432">
        <f>项目基本情况!D15</f>
        <v>67.97</v>
      </c>
      <c r="D10" s="136">
        <v>100</v>
      </c>
      <c r="E10" s="465" t="s">
        <v>3228</v>
      </c>
      <c r="F10" s="136">
        <f>ROUND(100/'数据-取费表'!G16,0)</f>
        <v>101</v>
      </c>
      <c r="G10" s="463" t="s">
        <v>3228</v>
      </c>
      <c r="H10" s="136">
        <f>ROUND(100/'数据-取费表'!G16,0)</f>
        <v>101</v>
      </c>
      <c r="I10" s="463" t="s">
        <v>3228</v>
      </c>
      <c r="J10" s="136">
        <f>ROUND(100/'数据-取费表'!G16,0)</f>
        <v>101</v>
      </c>
      <c r="K10" s="672"/>
      <c r="L10" s="1135"/>
      <c r="M10" s="1136"/>
      <c r="N10" s="1136"/>
      <c r="O10" s="1137"/>
      <c r="P10" s="3330"/>
      <c r="Q10" s="1795" t="str">
        <f t="shared" si="6"/>
        <v>土地使用年限（年）</v>
      </c>
      <c r="R10" s="770" t="s">
        <v>17</v>
      </c>
      <c r="S10" s="771">
        <f t="shared" si="0"/>
        <v>101</v>
      </c>
      <c r="T10" s="770" t="s">
        <v>17</v>
      </c>
      <c r="U10" s="771">
        <f t="shared" si="1"/>
        <v>101</v>
      </c>
      <c r="V10" s="770" t="s">
        <v>17</v>
      </c>
      <c r="W10" s="771">
        <f t="shared" si="2"/>
        <v>101</v>
      </c>
      <c r="X10" s="772"/>
      <c r="Y10" s="3171"/>
      <c r="Z10" s="55" t="str">
        <f t="shared" si="7"/>
        <v>土地使用年限（年）</v>
      </c>
      <c r="AA10" s="773">
        <f t="shared" si="3"/>
        <v>0.99009900990099009</v>
      </c>
      <c r="AB10" s="773">
        <f t="shared" si="4"/>
        <v>0.99009900990099009</v>
      </c>
      <c r="AC10" s="773">
        <f t="shared" si="5"/>
        <v>0.99009900990099009</v>
      </c>
    </row>
    <row r="11" spans="1:30" ht="15">
      <c r="A11" s="428"/>
      <c r="B11" s="422" t="s">
        <v>2553</v>
      </c>
      <c r="C11" s="429">
        <f>'数据-汇总表'!I4</f>
        <v>1.48</v>
      </c>
      <c r="D11" s="136">
        <v>100</v>
      </c>
      <c r="E11" s="429">
        <v>2</v>
      </c>
      <c r="F11" s="136">
        <f>LOOKUP(E11,80:80,81:81)-LOOKUP(C11,80:80,81:81)+100</f>
        <v>99</v>
      </c>
      <c r="G11" s="430">
        <v>2</v>
      </c>
      <c r="H11" s="136">
        <f>LOOKUP(G11,80:80,81:81)-LOOKUP(C11,80:80,81:81)+100</f>
        <v>99</v>
      </c>
      <c r="I11" s="429">
        <v>2.2000000000000002</v>
      </c>
      <c r="J11" s="136">
        <f>LOOKUP(I11,80:80,81:81)-LOOKUP(C11,80:80,81:81)+100</f>
        <v>99</v>
      </c>
      <c r="K11" s="673">
        <v>1</v>
      </c>
      <c r="L11" s="1138"/>
      <c r="M11" s="1131"/>
      <c r="N11" s="1131"/>
      <c r="O11" s="1139"/>
      <c r="P11" s="3330"/>
      <c r="Q11" s="1795" t="str">
        <f t="shared" si="6"/>
        <v>容积率</v>
      </c>
      <c r="R11" s="770" t="s">
        <v>17</v>
      </c>
      <c r="S11" s="771">
        <f t="shared" si="0"/>
        <v>99</v>
      </c>
      <c r="T11" s="770" t="s">
        <v>17</v>
      </c>
      <c r="U11" s="771">
        <f t="shared" si="1"/>
        <v>99</v>
      </c>
      <c r="V11" s="770" t="s">
        <v>17</v>
      </c>
      <c r="W11" s="771">
        <f t="shared" si="2"/>
        <v>99</v>
      </c>
      <c r="X11" s="772"/>
      <c r="Y11" s="3171"/>
      <c r="Z11" s="55" t="str">
        <f t="shared" si="7"/>
        <v>容积率</v>
      </c>
      <c r="AA11" s="773">
        <f t="shared" si="3"/>
        <v>1.0101010101010102</v>
      </c>
      <c r="AB11" s="773">
        <f t="shared" si="4"/>
        <v>1.0101010101010102</v>
      </c>
      <c r="AC11" s="773">
        <f t="shared" si="5"/>
        <v>1.0101010101010102</v>
      </c>
    </row>
    <row r="12" spans="1:30" s="117" customFormat="1" ht="15.75" thickBot="1">
      <c r="A12" s="431"/>
      <c r="B12" s="3014"/>
      <c r="C12" s="3015"/>
      <c r="D12" s="3016">
        <v>100</v>
      </c>
      <c r="E12" s="3017"/>
      <c r="F12" s="3018">
        <f>SUMIF(82:82,E12,83:83)-SUMIF(82:82,C12,83:83)+100</f>
        <v>100</v>
      </c>
      <c r="G12" s="3017"/>
      <c r="H12" s="3018">
        <f>SUMIF(82:82,G12,83:83)-SUMIF(82:82,C12,83:83)+100</f>
        <v>100</v>
      </c>
      <c r="I12" s="3019"/>
      <c r="J12" s="136">
        <f>SUMIF(82:82,I12,83:83)-SUMIF(82:82,C12,83:83)+100</f>
        <v>100</v>
      </c>
      <c r="K12" s="672"/>
      <c r="L12" s="1132"/>
      <c r="M12" s="1133"/>
      <c r="N12" s="1133"/>
      <c r="O12" s="1134"/>
      <c r="P12" s="3330"/>
      <c r="Q12" s="1795">
        <f t="shared" si="6"/>
        <v>0</v>
      </c>
      <c r="R12" s="770" t="s">
        <v>17</v>
      </c>
      <c r="S12" s="771">
        <f t="shared" si="0"/>
        <v>100</v>
      </c>
      <c r="T12" s="770" t="s">
        <v>17</v>
      </c>
      <c r="U12" s="771">
        <f t="shared" si="1"/>
        <v>100</v>
      </c>
      <c r="V12" s="770" t="s">
        <v>17</v>
      </c>
      <c r="W12" s="771">
        <f t="shared" si="2"/>
        <v>100</v>
      </c>
      <c r="X12" s="772"/>
      <c r="Y12" s="3171"/>
      <c r="Z12" s="55">
        <f t="shared" si="7"/>
        <v>0</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30"/>
      <c r="Q13" s="1795">
        <f t="shared" si="6"/>
        <v>111</v>
      </c>
      <c r="R13" s="770" t="s">
        <v>17</v>
      </c>
      <c r="S13" s="771">
        <f t="shared" si="0"/>
        <v>100</v>
      </c>
      <c r="T13" s="770" t="s">
        <v>17</v>
      </c>
      <c r="U13" s="771">
        <f t="shared" si="1"/>
        <v>100</v>
      </c>
      <c r="V13" s="770" t="s">
        <v>17</v>
      </c>
      <c r="W13" s="771">
        <f t="shared" si="2"/>
        <v>100</v>
      </c>
      <c r="X13" s="772"/>
      <c r="Y13" s="3171"/>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30"/>
      <c r="Q14" s="1795">
        <f t="shared" si="6"/>
        <v>111</v>
      </c>
      <c r="R14" s="770" t="s">
        <v>17</v>
      </c>
      <c r="S14" s="771">
        <f t="shared" si="0"/>
        <v>100</v>
      </c>
      <c r="T14" s="770" t="s">
        <v>17</v>
      </c>
      <c r="U14" s="771">
        <f t="shared" si="1"/>
        <v>100</v>
      </c>
      <c r="V14" s="770" t="s">
        <v>17</v>
      </c>
      <c r="W14" s="771">
        <f t="shared" si="2"/>
        <v>100</v>
      </c>
      <c r="X14" s="772"/>
      <c r="Y14" s="3171"/>
      <c r="Z14" s="55">
        <f t="shared" si="7"/>
        <v>111</v>
      </c>
      <c r="AA14" s="773">
        <f>D14/F14</f>
        <v>1</v>
      </c>
      <c r="AB14" s="773">
        <f>D14/H14</f>
        <v>1</v>
      </c>
      <c r="AC14" s="773">
        <f>D14/J14</f>
        <v>1</v>
      </c>
    </row>
    <row r="15" spans="1:30" ht="156.75">
      <c r="A15" s="440" t="s">
        <v>2554</v>
      </c>
      <c r="B15" s="69" t="s">
        <v>2083</v>
      </c>
      <c r="C15" s="2600" t="str">
        <f>估价对象房地状况!C15</f>
        <v>估价对象周边居住用地比例大、居住小区规模大且社区发展完善程度较好，如北京晨浩花园、海德堡小区、柏林在线等住宅小区，综合评价居住社区成熟度好。</v>
      </c>
      <c r="D15" s="441">
        <v>100</v>
      </c>
      <c r="E15" s="2983" t="s">
        <v>3377</v>
      </c>
      <c r="F15" s="441">
        <f>SUMIF(88:88,E16,89:89)-SUMIF(88:88,C16,89:89)+100</f>
        <v>100</v>
      </c>
      <c r="G15" s="2983" t="s">
        <v>3377</v>
      </c>
      <c r="H15" s="441">
        <f>SUMIF(88:88,G16,89:89)-SUMIF(88:88,C16,89:89)+100</f>
        <v>100</v>
      </c>
      <c r="I15" s="2983" t="s">
        <v>3386</v>
      </c>
      <c r="J15" s="441">
        <f>SUMIF(88:88,I16,89:89)-SUMIF(88:88,C16,89:89)+100</f>
        <v>100</v>
      </c>
      <c r="K15" s="673"/>
      <c r="L15" s="1140"/>
      <c r="M15" s="1131"/>
      <c r="N15" s="1131"/>
      <c r="O15" s="1139"/>
      <c r="P15" s="3345" t="s">
        <v>2555</v>
      </c>
      <c r="Q15" s="1810" t="str">
        <f t="shared" si="6"/>
        <v>居住社区成熟度</v>
      </c>
      <c r="R15" s="774" t="s">
        <v>17</v>
      </c>
      <c r="S15" s="775">
        <f t="shared" si="0"/>
        <v>100</v>
      </c>
      <c r="T15" s="774" t="s">
        <v>17</v>
      </c>
      <c r="U15" s="775">
        <f t="shared" si="1"/>
        <v>100</v>
      </c>
      <c r="V15" s="774" t="s">
        <v>17</v>
      </c>
      <c r="W15" s="775">
        <f t="shared" si="2"/>
        <v>100</v>
      </c>
      <c r="X15" s="1813"/>
      <c r="Y15" s="3345" t="s">
        <v>2555</v>
      </c>
      <c r="Z15" s="1814" t="str">
        <f t="shared" si="7"/>
        <v>居住社区成熟度</v>
      </c>
      <c r="AA15" s="1811">
        <f t="shared" si="3"/>
        <v>1</v>
      </c>
      <c r="AB15" s="1811">
        <f t="shared" si="4"/>
        <v>1</v>
      </c>
      <c r="AC15" s="1811">
        <f t="shared" si="5"/>
        <v>1</v>
      </c>
    </row>
    <row r="16" spans="1:30" ht="15">
      <c r="A16" s="428"/>
      <c r="B16" s="446"/>
      <c r="C16" s="447" t="s">
        <v>3190</v>
      </c>
      <c r="D16" s="448"/>
      <c r="E16" s="447" t="s">
        <v>3190</v>
      </c>
      <c r="F16" s="448"/>
      <c r="G16" s="447" t="s">
        <v>3190</v>
      </c>
      <c r="H16" s="450"/>
      <c r="I16" s="447" t="s">
        <v>3190</v>
      </c>
      <c r="J16" s="448"/>
      <c r="K16" s="672"/>
      <c r="L16" s="1140"/>
      <c r="M16" s="1131"/>
      <c r="N16" s="1131"/>
      <c r="O16" s="1139"/>
      <c r="P16" s="3346"/>
      <c r="Q16" s="1810"/>
      <c r="R16" s="774"/>
      <c r="S16" s="775"/>
      <c r="T16" s="774"/>
      <c r="U16" s="775"/>
      <c r="V16" s="774"/>
      <c r="W16" s="775"/>
      <c r="X16" s="1813"/>
      <c r="Y16" s="3346"/>
      <c r="Z16" s="1814"/>
      <c r="AA16" s="1811">
        <v>1</v>
      </c>
      <c r="AB16" s="1811">
        <v>1</v>
      </c>
      <c r="AC16" s="1811">
        <v>1</v>
      </c>
    </row>
    <row r="17" spans="1:29" ht="71.25" hidden="1">
      <c r="A17" s="428"/>
      <c r="B17" s="451" t="s">
        <v>2648</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46"/>
      <c r="Q17" s="1810" t="str">
        <f>B17</f>
        <v>商业繁华度</v>
      </c>
      <c r="R17" s="774" t="s">
        <v>17</v>
      </c>
      <c r="S17" s="775">
        <f>F17</f>
        <v>100</v>
      </c>
      <c r="T17" s="774" t="s">
        <v>17</v>
      </c>
      <c r="U17" s="775">
        <f>H17</f>
        <v>100</v>
      </c>
      <c r="V17" s="774" t="s">
        <v>17</v>
      </c>
      <c r="W17" s="775">
        <f>J17</f>
        <v>100</v>
      </c>
      <c r="X17" s="1813"/>
      <c r="Y17" s="3346"/>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346"/>
      <c r="Q18" s="1810"/>
      <c r="R18" s="774"/>
      <c r="S18" s="775"/>
      <c r="T18" s="774"/>
      <c r="U18" s="775"/>
      <c r="V18" s="774"/>
      <c r="W18" s="775"/>
      <c r="X18" s="1813"/>
      <c r="Y18" s="3346"/>
      <c r="Z18" s="1814"/>
      <c r="AA18" s="1811">
        <v>1</v>
      </c>
      <c r="AB18" s="1811">
        <v>1</v>
      </c>
      <c r="AC18" s="1811">
        <v>1</v>
      </c>
    </row>
    <row r="19" spans="1:29" ht="71.25" hidden="1">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46"/>
      <c r="Q19" s="1810" t="str">
        <f>B19</f>
        <v>办公集聚程度</v>
      </c>
      <c r="R19" s="774" t="s">
        <v>17</v>
      </c>
      <c r="S19" s="775">
        <f>F19</f>
        <v>100</v>
      </c>
      <c r="T19" s="774" t="s">
        <v>17</v>
      </c>
      <c r="U19" s="775">
        <f>H19</f>
        <v>100</v>
      </c>
      <c r="V19" s="774" t="s">
        <v>17</v>
      </c>
      <c r="W19" s="775">
        <f>J19</f>
        <v>100</v>
      </c>
      <c r="X19" s="1813"/>
      <c r="Y19" s="3346"/>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346"/>
      <c r="Q20" s="1810"/>
      <c r="R20" s="774"/>
      <c r="S20" s="775"/>
      <c r="T20" s="774"/>
      <c r="U20" s="775"/>
      <c r="V20" s="774"/>
      <c r="W20" s="775"/>
      <c r="X20" s="1813"/>
      <c r="Y20" s="3346"/>
      <c r="Z20" s="1814"/>
      <c r="AA20" s="1811">
        <v>1</v>
      </c>
      <c r="AB20" s="1811">
        <v>1</v>
      </c>
      <c r="AC20" s="1811">
        <v>1</v>
      </c>
    </row>
    <row r="21" spans="1:29" ht="128.25">
      <c r="A21" s="428"/>
      <c r="B21" s="451" t="s">
        <v>2704</v>
      </c>
      <c r="C21" s="2604" t="str">
        <f>估价对象房地状况!C18</f>
        <v>估价对象多面临街，周边道路路网较为密集，公共交通通达情况较好，有417、533路等、停车便捷程度较好，综合评价交通便捷度较好。</v>
      </c>
      <c r="D21" s="450">
        <v>100</v>
      </c>
      <c r="E21" s="452" t="s">
        <v>3379</v>
      </c>
      <c r="F21" s="455">
        <f>SUMIF(94:94,E22,95:95)-SUMIF(94:94,C22,95:95)+100</f>
        <v>100</v>
      </c>
      <c r="G21" s="452" t="s">
        <v>3379</v>
      </c>
      <c r="H21" s="450">
        <f>SUMIF(94:94,G22,95:95)-SUMIF(94:94,C22,95:95)+100</f>
        <v>100</v>
      </c>
      <c r="I21" s="452" t="s">
        <v>3387</v>
      </c>
      <c r="J21" s="450">
        <f>SUMIF(94:94,I22,95:95)-SUMIF(94:94,C22,95:95)+100</f>
        <v>100</v>
      </c>
      <c r="K21" s="673"/>
      <c r="L21" s="1140"/>
      <c r="M21" s="1131"/>
      <c r="N21" s="1131"/>
      <c r="O21" s="1139"/>
      <c r="P21" s="3346"/>
      <c r="Q21" s="1810" t="str">
        <f>B21</f>
        <v>交通便捷度</v>
      </c>
      <c r="R21" s="774" t="s">
        <v>17</v>
      </c>
      <c r="S21" s="775">
        <f>F21</f>
        <v>100</v>
      </c>
      <c r="T21" s="774" t="s">
        <v>17</v>
      </c>
      <c r="U21" s="775">
        <f>H21</f>
        <v>100</v>
      </c>
      <c r="V21" s="774" t="s">
        <v>17</v>
      </c>
      <c r="W21" s="775">
        <f>J21</f>
        <v>100</v>
      </c>
      <c r="X21" s="1813"/>
      <c r="Y21" s="3346"/>
      <c r="Z21" s="1814" t="str">
        <f>Q21</f>
        <v>交通便捷度</v>
      </c>
      <c r="AA21" s="1811">
        <f t="shared" si="3"/>
        <v>1</v>
      </c>
      <c r="AB21" s="1811">
        <f t="shared" si="4"/>
        <v>1</v>
      </c>
      <c r="AC21" s="1811">
        <f t="shared" si="5"/>
        <v>1</v>
      </c>
    </row>
    <row r="22" spans="1:29" ht="15">
      <c r="A22" s="428"/>
      <c r="B22" s="1384"/>
      <c r="C22" s="447" t="s">
        <v>3189</v>
      </c>
      <c r="D22" s="450"/>
      <c r="E22" s="447" t="s">
        <v>3189</v>
      </c>
      <c r="F22" s="448"/>
      <c r="G22" s="447" t="s">
        <v>3189</v>
      </c>
      <c r="H22" s="448"/>
      <c r="I22" s="447" t="s">
        <v>3189</v>
      </c>
      <c r="J22" s="448"/>
      <c r="K22" s="672"/>
      <c r="L22" s="1140"/>
      <c r="M22" s="1131"/>
      <c r="N22" s="1131"/>
      <c r="O22" s="1139"/>
      <c r="P22" s="3346"/>
      <c r="Q22" s="1810"/>
      <c r="R22" s="774"/>
      <c r="S22" s="775"/>
      <c r="T22" s="774"/>
      <c r="U22" s="775"/>
      <c r="V22" s="774"/>
      <c r="W22" s="775"/>
      <c r="X22" s="1813"/>
      <c r="Y22" s="3346"/>
      <c r="Z22" s="1814"/>
      <c r="AA22" s="1811">
        <v>1</v>
      </c>
      <c r="AB22" s="1811">
        <v>1</v>
      </c>
      <c r="AC22" s="1811">
        <v>1</v>
      </c>
    </row>
    <row r="23" spans="1:29" ht="42.75">
      <c r="A23" s="404"/>
      <c r="B23" s="451" t="s">
        <v>2742</v>
      </c>
      <c r="C23" s="1389" t="str">
        <f>估价对象房地状况!C19</f>
        <v>区域内多为住宅用地，对土地利用无不利影响。</v>
      </c>
      <c r="D23" s="455">
        <v>100</v>
      </c>
      <c r="E23" s="3096" t="s">
        <v>3381</v>
      </c>
      <c r="F23" s="455">
        <f>SUMIF(96:96,E24,97:97)-SUMIF(96:96,C24,97:97)+100</f>
        <v>100</v>
      </c>
      <c r="G23" s="2989" t="s">
        <v>3381</v>
      </c>
      <c r="H23" s="455">
        <f>SUMIF(96:96,G24,97:97)-SUMIF(96:96,C24,97:97)+100</f>
        <v>100</v>
      </c>
      <c r="I23" s="2989" t="s">
        <v>3381</v>
      </c>
      <c r="J23" s="455">
        <f>SUMIF(96:96,I24,97:97)-SUMIF(96:96,C24,97:97)+100</f>
        <v>100</v>
      </c>
      <c r="K23" s="673"/>
      <c r="L23" s="1140"/>
      <c r="M23" s="1131"/>
      <c r="N23" s="1131"/>
      <c r="O23" s="1139"/>
      <c r="P23" s="3346"/>
      <c r="Q23" s="1810" t="str">
        <f t="shared" ref="Q23:Q37" si="8">B23</f>
        <v>区域土地利用方向</v>
      </c>
      <c r="R23" s="774" t="s">
        <v>17</v>
      </c>
      <c r="S23" s="775">
        <f>F23</f>
        <v>100</v>
      </c>
      <c r="T23" s="774" t="s">
        <v>17</v>
      </c>
      <c r="U23" s="775">
        <f>H23</f>
        <v>100</v>
      </c>
      <c r="V23" s="774" t="s">
        <v>17</v>
      </c>
      <c r="W23" s="775">
        <f>J23</f>
        <v>100</v>
      </c>
      <c r="X23" s="1813"/>
      <c r="Y23" s="3346"/>
      <c r="Z23" s="1814" t="str">
        <f>Q23</f>
        <v>区域土地利用方向</v>
      </c>
      <c r="AA23" s="1811">
        <f t="shared" si="3"/>
        <v>1</v>
      </c>
      <c r="AB23" s="1811">
        <f t="shared" si="4"/>
        <v>1</v>
      </c>
      <c r="AC23" s="1811">
        <f t="shared" si="5"/>
        <v>1</v>
      </c>
    </row>
    <row r="24" spans="1:29" ht="15">
      <c r="A24" s="404"/>
      <c r="B24" s="456"/>
      <c r="C24" s="616" t="s">
        <v>3189</v>
      </c>
      <c r="D24" s="448"/>
      <c r="E24" s="616" t="s">
        <v>3189</v>
      </c>
      <c r="F24" s="448"/>
      <c r="G24" s="616" t="s">
        <v>3189</v>
      </c>
      <c r="H24" s="448"/>
      <c r="I24" s="616" t="s">
        <v>3189</v>
      </c>
      <c r="J24" s="448"/>
      <c r="K24" s="809"/>
      <c r="L24" s="1140"/>
      <c r="M24" s="1131"/>
      <c r="N24" s="1131"/>
      <c r="O24" s="1139"/>
      <c r="P24" s="3346"/>
      <c r="Q24" s="1810"/>
      <c r="R24" s="774"/>
      <c r="S24" s="775"/>
      <c r="T24" s="774"/>
      <c r="U24" s="775"/>
      <c r="V24" s="774"/>
      <c r="W24" s="775"/>
      <c r="X24" s="1813"/>
      <c r="Y24" s="3346"/>
      <c r="Z24" s="1814"/>
      <c r="AA24" s="1811"/>
      <c r="AB24" s="1811"/>
      <c r="AC24" s="1811"/>
    </row>
    <row r="25" spans="1:29" ht="99.75">
      <c r="A25" s="404"/>
      <c r="B25" s="1384" t="s">
        <v>2743</v>
      </c>
      <c r="C25" s="2660" t="str">
        <f>估价对象房地状况!C20</f>
        <v>区域自然环境：未来科技城滨河公园；人文环境：无展览馆、博物馆等；综合评价环境状况一般。</v>
      </c>
      <c r="D25" s="450">
        <v>100</v>
      </c>
      <c r="E25" s="3096" t="s">
        <v>3383</v>
      </c>
      <c r="F25" s="450">
        <f>SUMIF(98:98,E26,99:99)-SUMIF(98:98,C26,99:99)+100</f>
        <v>100</v>
      </c>
      <c r="G25" s="3096" t="s">
        <v>3383</v>
      </c>
      <c r="H25" s="450">
        <f>SUMIF(98:98,G26,99:99)-SUMIF(98:98,C26,99:99)+100</f>
        <v>100</v>
      </c>
      <c r="I25" s="3096" t="s">
        <v>3388</v>
      </c>
      <c r="J25" s="450">
        <f>SUMIF(98:98,I26,99:99)-SUMIF(98:98,C26,99:99)+100</f>
        <v>100</v>
      </c>
      <c r="K25" s="673"/>
      <c r="L25" s="1140"/>
      <c r="M25" s="1131"/>
      <c r="N25" s="1131"/>
      <c r="O25" s="1139"/>
      <c r="P25" s="3346"/>
      <c r="Q25" s="1810" t="str">
        <f t="shared" si="8"/>
        <v>自然及人文环境状况</v>
      </c>
      <c r="R25" s="774" t="s">
        <v>17</v>
      </c>
      <c r="S25" s="775">
        <f>F25</f>
        <v>100</v>
      </c>
      <c r="T25" s="774" t="s">
        <v>17</v>
      </c>
      <c r="U25" s="775">
        <f>H25</f>
        <v>100</v>
      </c>
      <c r="V25" s="774" t="s">
        <v>17</v>
      </c>
      <c r="W25" s="775">
        <f>J25</f>
        <v>100</v>
      </c>
      <c r="X25" s="1813"/>
      <c r="Y25" s="3346"/>
      <c r="Z25" s="1814" t="str">
        <f>Q25</f>
        <v>自然及人文环境状况</v>
      </c>
      <c r="AA25" s="1811">
        <f t="shared" si="3"/>
        <v>1</v>
      </c>
      <c r="AB25" s="1811">
        <f t="shared" si="4"/>
        <v>1</v>
      </c>
      <c r="AC25" s="1811">
        <f t="shared" si="5"/>
        <v>1</v>
      </c>
    </row>
    <row r="26" spans="1:29" ht="15">
      <c r="A26" s="404"/>
      <c r="B26" s="456"/>
      <c r="C26" s="447" t="s">
        <v>3192</v>
      </c>
      <c r="D26" s="448"/>
      <c r="E26" s="2608" t="s">
        <v>3192</v>
      </c>
      <c r="F26" s="448"/>
      <c r="G26" s="2608" t="s">
        <v>3192</v>
      </c>
      <c r="H26" s="448"/>
      <c r="I26" s="447" t="s">
        <v>3192</v>
      </c>
      <c r="J26" s="448"/>
      <c r="K26" s="672"/>
      <c r="L26" s="1140"/>
      <c r="M26" s="1131"/>
      <c r="N26" s="1131"/>
      <c r="O26" s="1139"/>
      <c r="P26" s="3346"/>
      <c r="Q26" s="1810"/>
      <c r="R26" s="774"/>
      <c r="S26" s="775"/>
      <c r="T26" s="774"/>
      <c r="U26" s="775"/>
      <c r="V26" s="774"/>
      <c r="W26" s="775"/>
      <c r="X26" s="1813"/>
      <c r="Y26" s="3346"/>
      <c r="Z26" s="1814"/>
      <c r="AA26" s="1811">
        <v>1</v>
      </c>
      <c r="AB26" s="1811">
        <v>1</v>
      </c>
      <c r="AC26" s="1811">
        <v>1</v>
      </c>
    </row>
    <row r="27" spans="1:29" s="117" customFormat="1" ht="213.75">
      <c r="A27" s="649"/>
      <c r="B27" s="1384" t="s">
        <v>2649</v>
      </c>
      <c r="C27" s="2604"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D27" s="450">
        <v>100</v>
      </c>
      <c r="E27" s="452" t="s">
        <v>3385</v>
      </c>
      <c r="F27" s="450">
        <f>SUMIF(100:100,E28,101:101)-SUMIF(100:100,C28,101:101)+100</f>
        <v>100</v>
      </c>
      <c r="G27" s="452" t="s">
        <v>3385</v>
      </c>
      <c r="H27" s="450">
        <f>SUMIF(100:100,G28,101:101)-SUMIF(100:100,C28,101:101)+100</f>
        <v>100</v>
      </c>
      <c r="I27" s="452" t="s">
        <v>3389</v>
      </c>
      <c r="J27" s="450">
        <f>SUMIF(100:100,I28,101:101)-SUMIF(100:100,C28,101:101)+100</f>
        <v>100</v>
      </c>
      <c r="K27" s="673"/>
      <c r="L27" s="1132"/>
      <c r="M27" s="1133"/>
      <c r="N27" s="1133"/>
      <c r="O27" s="1134"/>
      <c r="P27" s="3346"/>
      <c r="Q27" s="1795" t="str">
        <f t="shared" si="8"/>
        <v>公共配套设施</v>
      </c>
      <c r="R27" s="770" t="s">
        <v>17</v>
      </c>
      <c r="S27" s="771">
        <f>F27</f>
        <v>100</v>
      </c>
      <c r="T27" s="770" t="s">
        <v>17</v>
      </c>
      <c r="U27" s="771">
        <f>H27</f>
        <v>100</v>
      </c>
      <c r="V27" s="770" t="s">
        <v>17</v>
      </c>
      <c r="W27" s="771">
        <f>J27</f>
        <v>100</v>
      </c>
      <c r="X27" s="772"/>
      <c r="Y27" s="3346"/>
      <c r="Z27" s="55" t="str">
        <f>Q27</f>
        <v>公共配套设施</v>
      </c>
      <c r="AA27" s="1811">
        <f>D27/F27</f>
        <v>1</v>
      </c>
      <c r="AB27" s="1811">
        <f>D27/H27</f>
        <v>1</v>
      </c>
      <c r="AC27" s="1811">
        <f>D27/J27</f>
        <v>1</v>
      </c>
    </row>
    <row r="28" spans="1:29" s="117" customFormat="1" ht="15">
      <c r="A28" s="649"/>
      <c r="B28" s="456"/>
      <c r="C28" s="2696" t="s">
        <v>3189</v>
      </c>
      <c r="D28" s="448"/>
      <c r="E28" s="2696" t="s">
        <v>3189</v>
      </c>
      <c r="F28" s="448"/>
      <c r="G28" s="2696" t="s">
        <v>3189</v>
      </c>
      <c r="H28" s="448"/>
      <c r="I28" s="2696" t="s">
        <v>3189</v>
      </c>
      <c r="J28" s="448"/>
      <c r="K28" s="672"/>
      <c r="L28" s="1132"/>
      <c r="M28" s="1133"/>
      <c r="N28" s="1133"/>
      <c r="O28" s="1134"/>
      <c r="P28" s="3346"/>
      <c r="Q28" s="1795"/>
      <c r="R28" s="770"/>
      <c r="S28" s="771"/>
      <c r="T28" s="770"/>
      <c r="U28" s="771"/>
      <c r="V28" s="770"/>
      <c r="W28" s="771"/>
      <c r="X28" s="772"/>
      <c r="Y28" s="3346"/>
      <c r="Z28" s="55"/>
      <c r="AA28" s="1811">
        <v>1</v>
      </c>
      <c r="AB28" s="1811">
        <v>1</v>
      </c>
      <c r="AC28" s="1811">
        <v>1</v>
      </c>
    </row>
    <row r="29" spans="1:29" s="117" customFormat="1" ht="42.75">
      <c r="A29" s="649"/>
      <c r="B29" s="1384" t="s">
        <v>2650</v>
      </c>
      <c r="C29" s="2604" t="str">
        <f>估价对象房地状况!C22</f>
        <v>估价对象所在区域基础设施水平达到“七通”。</v>
      </c>
      <c r="D29" s="450">
        <v>100</v>
      </c>
      <c r="E29" s="3096" t="s">
        <v>3367</v>
      </c>
      <c r="F29" s="450">
        <f>SUMIF(102:102,E30,103:103)-SUMIF(102:102,C30,103:103)+100</f>
        <v>100</v>
      </c>
      <c r="G29" s="3096" t="s">
        <v>3367</v>
      </c>
      <c r="H29" s="450">
        <f>SUMIF(102:102,G30,103:103)-SUMIF(102:102,C30,103:103)+100</f>
        <v>100</v>
      </c>
      <c r="I29" s="2989" t="s">
        <v>3367</v>
      </c>
      <c r="J29" s="450">
        <f>SUMIF(102:102,I30,103:103)-SUMIF(102:102,C30,103:103)+100</f>
        <v>100</v>
      </c>
      <c r="K29" s="673"/>
      <c r="L29" s="1132"/>
      <c r="M29" s="1133"/>
      <c r="N29" s="1133"/>
      <c r="O29" s="1134"/>
      <c r="P29" s="3346"/>
      <c r="Q29" s="1795" t="str">
        <f t="shared" ref="Q29" si="9">B29</f>
        <v>基础设施水平</v>
      </c>
      <c r="R29" s="770" t="s">
        <v>17</v>
      </c>
      <c r="S29" s="771">
        <f>F29</f>
        <v>100</v>
      </c>
      <c r="T29" s="770" t="s">
        <v>17</v>
      </c>
      <c r="U29" s="771">
        <f>H29</f>
        <v>100</v>
      </c>
      <c r="V29" s="770" t="s">
        <v>17</v>
      </c>
      <c r="W29" s="771">
        <f>J29</f>
        <v>100</v>
      </c>
      <c r="X29" s="772"/>
      <c r="Y29" s="3346"/>
      <c r="Z29" s="55" t="str">
        <f>Q29</f>
        <v>基础设施水平</v>
      </c>
      <c r="AA29" s="1811">
        <f>D29/F29</f>
        <v>1</v>
      </c>
      <c r="AB29" s="1811">
        <f>D29/H29</f>
        <v>1</v>
      </c>
      <c r="AC29" s="1811">
        <f>D29/J29</f>
        <v>1</v>
      </c>
    </row>
    <row r="30" spans="1:29" s="117" customFormat="1" ht="15">
      <c r="A30" s="649"/>
      <c r="B30" s="456"/>
      <c r="C30" s="2696" t="s">
        <v>3191</v>
      </c>
      <c r="D30" s="448"/>
      <c r="E30" s="2697" t="s">
        <v>3191</v>
      </c>
      <c r="F30" s="448"/>
      <c r="G30" s="2697" t="s">
        <v>3191</v>
      </c>
      <c r="H30" s="448"/>
      <c r="I30" s="2697" t="s">
        <v>3191</v>
      </c>
      <c r="J30" s="448"/>
      <c r="K30" s="672"/>
      <c r="L30" s="1132"/>
      <c r="M30" s="1133"/>
      <c r="N30" s="1133"/>
      <c r="O30" s="1134"/>
      <c r="P30" s="3346"/>
      <c r="Q30" s="1795"/>
      <c r="R30" s="770"/>
      <c r="S30" s="771"/>
      <c r="T30" s="770"/>
      <c r="U30" s="771"/>
      <c r="V30" s="770"/>
      <c r="W30" s="771"/>
      <c r="X30" s="772"/>
      <c r="Y30" s="3346"/>
      <c r="Z30" s="55"/>
      <c r="AA30" s="1811">
        <v>1</v>
      </c>
      <c r="AB30" s="1811">
        <v>1</v>
      </c>
      <c r="AC30" s="1811">
        <v>1</v>
      </c>
    </row>
    <row r="31" spans="1:29" ht="15">
      <c r="A31" s="428"/>
      <c r="B31" s="456" t="s">
        <v>2651</v>
      </c>
      <c r="C31" s="616" t="s">
        <v>3188</v>
      </c>
      <c r="D31" s="435">
        <v>100</v>
      </c>
      <c r="E31" s="634" t="s">
        <v>3188</v>
      </c>
      <c r="F31" s="435">
        <f>SUMIF(104:104,E31,105:105)-SUMIF(104:104,C31,105:105)+100</f>
        <v>100</v>
      </c>
      <c r="G31" s="634" t="s">
        <v>3188</v>
      </c>
      <c r="H31" s="435">
        <f>SUMIF(104:104,G31,105:105)-SUMIF(104:104,C31,105:105)+100</f>
        <v>100</v>
      </c>
      <c r="I31" s="634" t="s">
        <v>3391</v>
      </c>
      <c r="J31" s="435">
        <f>SUMIF(104:104,I31,105:105)-SUMIF(104:104,C31,105:105)+100</f>
        <v>98</v>
      </c>
      <c r="K31" s="673">
        <v>1</v>
      </c>
      <c r="L31" s="1140"/>
      <c r="M31" s="1131"/>
      <c r="N31" s="1131"/>
      <c r="O31" s="1139"/>
      <c r="P31" s="3346"/>
      <c r="Q31" s="1810" t="str">
        <f t="shared" si="8"/>
        <v>临街状况</v>
      </c>
      <c r="R31" s="774" t="s">
        <v>17</v>
      </c>
      <c r="S31" s="775">
        <f t="shared" ref="S31:S45" si="10">F31</f>
        <v>100</v>
      </c>
      <c r="T31" s="774" t="s">
        <v>17</v>
      </c>
      <c r="U31" s="775">
        <f t="shared" ref="U31:U45" si="11">H31</f>
        <v>100</v>
      </c>
      <c r="V31" s="774" t="s">
        <v>17</v>
      </c>
      <c r="W31" s="775">
        <f t="shared" ref="W31:W45" si="12">J31</f>
        <v>98</v>
      </c>
      <c r="X31" s="1813"/>
      <c r="Y31" s="3346"/>
      <c r="Z31" s="1814" t="str">
        <f t="shared" ref="Z31:Z45" si="13">Q31</f>
        <v>临街状况</v>
      </c>
      <c r="AA31" s="1811">
        <f t="shared" si="3"/>
        <v>1</v>
      </c>
      <c r="AB31" s="1811">
        <f t="shared" si="4"/>
        <v>1</v>
      </c>
      <c r="AC31" s="1811">
        <f t="shared" si="5"/>
        <v>1.0204081632653061</v>
      </c>
    </row>
    <row r="32" spans="1:29" ht="27.75">
      <c r="A32" s="428"/>
      <c r="B32" s="1384" t="s">
        <v>2686</v>
      </c>
      <c r="C32" s="454" t="s">
        <v>3375</v>
      </c>
      <c r="D32" s="450">
        <v>100</v>
      </c>
      <c r="E32" s="3096" t="s">
        <v>3376</v>
      </c>
      <c r="F32" s="450">
        <f>SUMIF(106:106,E33,107:107)-SUMIF(106:106,C33,107:107)+100</f>
        <v>101</v>
      </c>
      <c r="G32" s="3096" t="s">
        <v>3376</v>
      </c>
      <c r="H32" s="450">
        <f>SUMIF(106:106,G33,107:107)-SUMIF(106:106,C33,107:107)+100</f>
        <v>101</v>
      </c>
      <c r="I32" s="2989" t="s">
        <v>3392</v>
      </c>
      <c r="J32" s="450">
        <f>SUMIF(106:106,I33,107:107)-SUMIF(106:106,C33,107:107)+100</f>
        <v>100</v>
      </c>
      <c r="K32" s="673">
        <v>1</v>
      </c>
      <c r="L32" s="1140"/>
      <c r="M32" s="1131"/>
      <c r="N32" s="1131"/>
      <c r="O32" s="1139"/>
      <c r="P32" s="3346"/>
      <c r="Q32" s="1810" t="str">
        <f t="shared" si="8"/>
        <v>毗邻道路的类型与等级</v>
      </c>
      <c r="R32" s="774" t="s">
        <v>17</v>
      </c>
      <c r="S32" s="775">
        <f t="shared" si="10"/>
        <v>101</v>
      </c>
      <c r="T32" s="774" t="s">
        <v>17</v>
      </c>
      <c r="U32" s="775">
        <f t="shared" si="11"/>
        <v>101</v>
      </c>
      <c r="V32" s="774" t="s">
        <v>17</v>
      </c>
      <c r="W32" s="775">
        <f t="shared" si="12"/>
        <v>100</v>
      </c>
      <c r="X32" s="1813"/>
      <c r="Y32" s="3346"/>
      <c r="Z32" s="1814" t="str">
        <f t="shared" si="13"/>
        <v>毗邻道路的类型与等级</v>
      </c>
      <c r="AA32" s="1811">
        <f t="shared" si="3"/>
        <v>0.99009900990099009</v>
      </c>
      <c r="AB32" s="1811">
        <f t="shared" si="4"/>
        <v>0.99009900990099009</v>
      </c>
      <c r="AC32" s="1811">
        <f t="shared" si="5"/>
        <v>1</v>
      </c>
    </row>
    <row r="33" spans="1:29" ht="15">
      <c r="A33" s="428"/>
      <c r="B33" s="456"/>
      <c r="C33" s="447" t="s">
        <v>3372</v>
      </c>
      <c r="D33" s="448"/>
      <c r="E33" s="2608" t="s">
        <v>3370</v>
      </c>
      <c r="F33" s="448"/>
      <c r="G33" s="2608" t="s">
        <v>3370</v>
      </c>
      <c r="H33" s="448"/>
      <c r="I33" s="447" t="s">
        <v>3372</v>
      </c>
      <c r="J33" s="448"/>
      <c r="K33" s="613"/>
      <c r="L33" s="1140"/>
      <c r="M33" s="1131"/>
      <c r="N33" s="1131"/>
      <c r="O33" s="1139"/>
      <c r="P33" s="3346"/>
      <c r="Q33" s="1810"/>
      <c r="R33" s="774"/>
      <c r="S33" s="775"/>
      <c r="T33" s="774"/>
      <c r="U33" s="775"/>
      <c r="V33" s="774"/>
      <c r="W33" s="775"/>
      <c r="X33" s="1813"/>
      <c r="Y33" s="3346"/>
      <c r="Z33" s="1814"/>
      <c r="AA33" s="1811">
        <v>1</v>
      </c>
      <c r="AB33" s="1811">
        <v>1</v>
      </c>
      <c r="AC33" s="1811">
        <v>1</v>
      </c>
    </row>
    <row r="34" spans="1:29" ht="15.75" thickBot="1">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46"/>
      <c r="Q34" s="1810" t="str">
        <f t="shared" si="8"/>
        <v>土地级别</v>
      </c>
      <c r="R34" s="774" t="s">
        <v>17</v>
      </c>
      <c r="S34" s="775">
        <f t="shared" si="10"/>
        <v>100</v>
      </c>
      <c r="T34" s="774" t="s">
        <v>17</v>
      </c>
      <c r="U34" s="775">
        <f t="shared" si="11"/>
        <v>100</v>
      </c>
      <c r="V34" s="774" t="s">
        <v>17</v>
      </c>
      <c r="W34" s="775">
        <f t="shared" si="12"/>
        <v>100</v>
      </c>
      <c r="X34" s="1813"/>
      <c r="Y34" s="3346"/>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46"/>
      <c r="Q35" s="1810">
        <f t="shared" si="8"/>
        <v>111</v>
      </c>
      <c r="R35" s="774" t="s">
        <v>17</v>
      </c>
      <c r="S35" s="775">
        <f t="shared" si="10"/>
        <v>100</v>
      </c>
      <c r="T35" s="774" t="s">
        <v>17</v>
      </c>
      <c r="U35" s="775">
        <f t="shared" si="11"/>
        <v>100</v>
      </c>
      <c r="V35" s="774" t="s">
        <v>17</v>
      </c>
      <c r="W35" s="775">
        <f t="shared" si="12"/>
        <v>100</v>
      </c>
      <c r="X35" s="1813"/>
      <c r="Y35" s="3346"/>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47" t="s">
        <v>2560</v>
      </c>
      <c r="Q36" s="1810">
        <f t="shared" si="8"/>
        <v>111</v>
      </c>
      <c r="R36" s="774" t="s">
        <v>17</v>
      </c>
      <c r="S36" s="775">
        <f t="shared" si="10"/>
        <v>100</v>
      </c>
      <c r="T36" s="774" t="s">
        <v>17</v>
      </c>
      <c r="U36" s="775">
        <f t="shared" si="11"/>
        <v>100</v>
      </c>
      <c r="V36" s="774" t="s">
        <v>17</v>
      </c>
      <c r="W36" s="775">
        <f t="shared" si="12"/>
        <v>100</v>
      </c>
      <c r="X36" s="1813"/>
      <c r="Y36" s="3348" t="s">
        <v>2560</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48"/>
      <c r="Q37" s="1810">
        <f t="shared" si="8"/>
        <v>111</v>
      </c>
      <c r="R37" s="777" t="s">
        <v>17</v>
      </c>
      <c r="S37" s="778">
        <f t="shared" si="10"/>
        <v>100</v>
      </c>
      <c r="T37" s="777" t="s">
        <v>17</v>
      </c>
      <c r="U37" s="778">
        <f t="shared" si="11"/>
        <v>100</v>
      </c>
      <c r="V37" s="777" t="s">
        <v>17</v>
      </c>
      <c r="W37" s="778">
        <f t="shared" si="12"/>
        <v>100</v>
      </c>
      <c r="X37" s="779"/>
      <c r="Y37" s="3348"/>
      <c r="Z37" s="780">
        <f t="shared" si="13"/>
        <v>111</v>
      </c>
      <c r="AA37" s="1811">
        <f t="shared" si="3"/>
        <v>1</v>
      </c>
      <c r="AB37" s="1811">
        <f t="shared" si="4"/>
        <v>1</v>
      </c>
      <c r="AC37" s="1811">
        <f t="shared" si="5"/>
        <v>1</v>
      </c>
    </row>
    <row r="38" spans="1:29" ht="15">
      <c r="A38" s="472" t="s">
        <v>2558</v>
      </c>
      <c r="B38" s="456" t="s">
        <v>2745</v>
      </c>
      <c r="C38" s="679">
        <v>52647.78</v>
      </c>
      <c r="D38" s="467">
        <v>100</v>
      </c>
      <c r="E38" s="679">
        <v>83732.679999999993</v>
      </c>
      <c r="F38" s="467">
        <f>LOOKUP(E38,117:117,118:118)-LOOKUP(C38,117:117,118:118)+100</f>
        <v>100</v>
      </c>
      <c r="G38" s="679">
        <v>89347.09</v>
      </c>
      <c r="H38" s="467">
        <f>LOOKUP(G38,117:117,118:118)-LOOKUP(C38,117:117,118:118)+100</f>
        <v>100</v>
      </c>
      <c r="I38" s="530">
        <v>44353.34</v>
      </c>
      <c r="J38" s="467">
        <f>LOOKUP(I38,117:117,118:118)-LOOKUP(C38,117:117,118:118)+100</f>
        <v>97</v>
      </c>
      <c r="K38" s="613"/>
      <c r="L38" s="1140"/>
      <c r="M38" s="1131"/>
      <c r="N38" s="1131"/>
      <c r="O38" s="1139"/>
      <c r="P38" s="3348"/>
      <c r="Q38" s="1810" t="str">
        <f>B38</f>
        <v>宗地面积</v>
      </c>
      <c r="R38" s="774" t="s">
        <v>17</v>
      </c>
      <c r="S38" s="775">
        <f t="shared" si="10"/>
        <v>100</v>
      </c>
      <c r="T38" s="774" t="s">
        <v>17</v>
      </c>
      <c r="U38" s="775">
        <f t="shared" si="11"/>
        <v>100</v>
      </c>
      <c r="V38" s="774" t="s">
        <v>17</v>
      </c>
      <c r="W38" s="775">
        <f t="shared" si="12"/>
        <v>97</v>
      </c>
      <c r="X38" s="1813"/>
      <c r="Y38" s="3348"/>
      <c r="Z38" s="1814" t="str">
        <f t="shared" si="13"/>
        <v>宗地面积</v>
      </c>
      <c r="AA38" s="1811">
        <f t="shared" si="3"/>
        <v>1</v>
      </c>
      <c r="AB38" s="1811">
        <f t="shared" si="4"/>
        <v>1</v>
      </c>
      <c r="AC38" s="1811">
        <f t="shared" si="5"/>
        <v>1.0309278350515463</v>
      </c>
    </row>
    <row r="39" spans="1:29" ht="15">
      <c r="A39" s="472"/>
      <c r="B39" s="422" t="s">
        <v>2746</v>
      </c>
      <c r="C39" s="2610" t="s">
        <v>3243</v>
      </c>
      <c r="D39" s="435">
        <v>100</v>
      </c>
      <c r="E39" s="2610" t="s">
        <v>3243</v>
      </c>
      <c r="F39" s="435">
        <f>SUMIF(119:119,E39,120:120)-SUMIF(119:119,C39,120:120)+100</f>
        <v>100</v>
      </c>
      <c r="G39" s="2610" t="s">
        <v>3244</v>
      </c>
      <c r="H39" s="435">
        <f>SUMIF(119:119,G39,120:120)-SUMIF(119:119,C39,120:120)+100</f>
        <v>99</v>
      </c>
      <c r="I39" s="2610" t="s">
        <v>3243</v>
      </c>
      <c r="J39" s="435">
        <f>SUMIF(119:119,I39,120:120)-SUMIF(119:119,C39,120:120)+100</f>
        <v>100</v>
      </c>
      <c r="K39" s="612">
        <v>1</v>
      </c>
      <c r="L39" s="1140"/>
      <c r="M39" s="1131"/>
      <c r="N39" s="1131"/>
      <c r="O39" s="1139"/>
      <c r="P39" s="3348"/>
      <c r="Q39" s="1810" t="str">
        <f t="shared" ref="Q39:Q45" si="14">B39</f>
        <v>宗地形状</v>
      </c>
      <c r="R39" s="774" t="s">
        <v>17</v>
      </c>
      <c r="S39" s="775">
        <f t="shared" si="10"/>
        <v>100</v>
      </c>
      <c r="T39" s="774" t="s">
        <v>17</v>
      </c>
      <c r="U39" s="775">
        <f t="shared" si="11"/>
        <v>99</v>
      </c>
      <c r="V39" s="774" t="s">
        <v>17</v>
      </c>
      <c r="W39" s="775">
        <f t="shared" si="12"/>
        <v>100</v>
      </c>
      <c r="X39" s="1813"/>
      <c r="Y39" s="3348"/>
      <c r="Z39" s="1814" t="str">
        <f t="shared" si="13"/>
        <v>宗地形状</v>
      </c>
      <c r="AA39" s="1811">
        <f t="shared" si="3"/>
        <v>1</v>
      </c>
      <c r="AB39" s="1811">
        <f t="shared" si="4"/>
        <v>1.0101010101010102</v>
      </c>
      <c r="AC39" s="1811">
        <f t="shared" si="5"/>
        <v>1</v>
      </c>
    </row>
    <row r="40" spans="1:29" ht="15">
      <c r="A40" s="472"/>
      <c r="B40" s="422" t="s">
        <v>2747</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348"/>
      <c r="Q40" s="1810" t="str">
        <f t="shared" si="14"/>
        <v>临街宽度及深度</v>
      </c>
      <c r="R40" s="774" t="s">
        <v>17</v>
      </c>
      <c r="S40" s="775">
        <f t="shared" si="10"/>
        <v>100</v>
      </c>
      <c r="T40" s="774" t="s">
        <v>17</v>
      </c>
      <c r="U40" s="775">
        <f t="shared" si="11"/>
        <v>100</v>
      </c>
      <c r="V40" s="774" t="s">
        <v>17</v>
      </c>
      <c r="W40" s="775">
        <f t="shared" si="12"/>
        <v>100</v>
      </c>
      <c r="X40" s="1813"/>
      <c r="Y40" s="3348"/>
      <c r="Z40" s="1814" t="str">
        <f t="shared" si="13"/>
        <v>临街宽度及深度</v>
      </c>
      <c r="AA40" s="1811">
        <f t="shared" si="3"/>
        <v>1</v>
      </c>
      <c r="AB40" s="1811">
        <f t="shared" si="4"/>
        <v>1</v>
      </c>
      <c r="AC40" s="1811">
        <f t="shared" si="5"/>
        <v>1</v>
      </c>
    </row>
    <row r="41" spans="1:29" s="117" customFormat="1" ht="15">
      <c r="A41" s="473"/>
      <c r="B41" s="422" t="s">
        <v>2748</v>
      </c>
      <c r="C41" s="2698" t="s">
        <v>3245</v>
      </c>
      <c r="D41" s="136">
        <v>100</v>
      </c>
      <c r="E41" s="2698" t="s">
        <v>3246</v>
      </c>
      <c r="F41" s="435">
        <f>SUMIF(123:123,E41,124:124)-SUMIF(123:123,C41,124:124)+100</f>
        <v>102</v>
      </c>
      <c r="G41" s="2698" t="s">
        <v>3246</v>
      </c>
      <c r="H41" s="435">
        <f>SUMIF(123:123,G41,124:124)-SUMIF(123:123,C41,124:124)+100</f>
        <v>102</v>
      </c>
      <c r="I41" s="2698" t="s">
        <v>3247</v>
      </c>
      <c r="J41" s="435">
        <f>SUMIF(123:123,I41,124:124)-SUMIF(123:123,C41,124:124)+100</f>
        <v>101</v>
      </c>
      <c r="K41" s="612">
        <v>0.5</v>
      </c>
      <c r="L41" s="1132"/>
      <c r="M41" s="1133"/>
      <c r="N41" s="1133"/>
      <c r="O41" s="1134"/>
      <c r="P41" s="3348"/>
      <c r="Q41" s="1810" t="str">
        <f t="shared" si="14"/>
        <v>宗地开发程度</v>
      </c>
      <c r="R41" s="770" t="s">
        <v>17</v>
      </c>
      <c r="S41" s="771">
        <f t="shared" si="10"/>
        <v>102</v>
      </c>
      <c r="T41" s="770" t="s">
        <v>17</v>
      </c>
      <c r="U41" s="771">
        <f t="shared" si="11"/>
        <v>102</v>
      </c>
      <c r="V41" s="770" t="s">
        <v>17</v>
      </c>
      <c r="W41" s="771">
        <f t="shared" si="12"/>
        <v>101</v>
      </c>
      <c r="X41" s="772"/>
      <c r="Y41" s="3348"/>
      <c r="Z41" s="55" t="str">
        <f t="shared" si="13"/>
        <v>宗地开发程度</v>
      </c>
      <c r="AA41" s="773">
        <f t="shared" si="3"/>
        <v>0.98039215686274506</v>
      </c>
      <c r="AB41" s="773">
        <f t="shared" si="4"/>
        <v>0.98039215686274506</v>
      </c>
      <c r="AC41" s="773">
        <f t="shared" si="5"/>
        <v>0.99009900990099009</v>
      </c>
    </row>
    <row r="42" spans="1:29" ht="15.75" thickBot="1">
      <c r="A42" s="472"/>
      <c r="B42" s="422" t="s">
        <v>2749</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348" t="s">
        <v>2560</v>
      </c>
      <c r="Q42" s="1810" t="str">
        <f t="shared" si="14"/>
        <v>工程地质条件</v>
      </c>
      <c r="R42" s="774" t="s">
        <v>17</v>
      </c>
      <c r="S42" s="775">
        <f t="shared" si="10"/>
        <v>100</v>
      </c>
      <c r="T42" s="774" t="s">
        <v>17</v>
      </c>
      <c r="U42" s="775">
        <f t="shared" si="11"/>
        <v>100</v>
      </c>
      <c r="V42" s="774" t="s">
        <v>17</v>
      </c>
      <c r="W42" s="775">
        <f t="shared" si="12"/>
        <v>100</v>
      </c>
      <c r="X42" s="1813"/>
      <c r="Y42" s="3348" t="s">
        <v>2560</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48"/>
      <c r="Q43" s="1810">
        <f t="shared" si="14"/>
        <v>111</v>
      </c>
      <c r="R43" s="774" t="s">
        <v>17</v>
      </c>
      <c r="S43" s="775">
        <f t="shared" si="10"/>
        <v>100</v>
      </c>
      <c r="T43" s="774" t="s">
        <v>17</v>
      </c>
      <c r="U43" s="775">
        <f t="shared" si="11"/>
        <v>100</v>
      </c>
      <c r="V43" s="774" t="s">
        <v>17</v>
      </c>
      <c r="W43" s="775">
        <f t="shared" si="12"/>
        <v>100</v>
      </c>
      <c r="X43" s="1813"/>
      <c r="Y43" s="3348"/>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48"/>
      <c r="Q44" s="1810">
        <f t="shared" si="14"/>
        <v>111</v>
      </c>
      <c r="R44" s="774" t="s">
        <v>17</v>
      </c>
      <c r="S44" s="775">
        <f t="shared" si="10"/>
        <v>100</v>
      </c>
      <c r="T44" s="774" t="s">
        <v>17</v>
      </c>
      <c r="U44" s="775">
        <f t="shared" si="11"/>
        <v>100</v>
      </c>
      <c r="V44" s="774" t="s">
        <v>17</v>
      </c>
      <c r="W44" s="775">
        <f t="shared" si="12"/>
        <v>100</v>
      </c>
      <c r="X44" s="1813"/>
      <c r="Y44" s="3348"/>
      <c r="Z44" s="1814">
        <f t="shared" si="13"/>
        <v>111</v>
      </c>
      <c r="AA44" s="1811">
        <f t="shared" si="3"/>
        <v>1</v>
      </c>
      <c r="AB44" s="1811">
        <f t="shared" si="4"/>
        <v>1</v>
      </c>
      <c r="AC44" s="1811">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48"/>
      <c r="Q45" s="1810">
        <f t="shared" si="14"/>
        <v>111</v>
      </c>
      <c r="R45" s="777" t="s">
        <v>17</v>
      </c>
      <c r="S45" s="778">
        <f t="shared" si="10"/>
        <v>100</v>
      </c>
      <c r="T45" s="777" t="s">
        <v>17</v>
      </c>
      <c r="U45" s="778">
        <f t="shared" si="11"/>
        <v>100</v>
      </c>
      <c r="V45" s="777" t="s">
        <v>17</v>
      </c>
      <c r="W45" s="778">
        <f t="shared" si="12"/>
        <v>100</v>
      </c>
      <c r="X45" s="779"/>
      <c r="Y45" s="3348"/>
      <c r="Z45" s="780">
        <f t="shared" si="13"/>
        <v>111</v>
      </c>
      <c r="AA45" s="1811">
        <f t="shared" si="3"/>
        <v>1</v>
      </c>
      <c r="AB45" s="1811">
        <f t="shared" si="4"/>
        <v>1</v>
      </c>
      <c r="AC45" s="1811">
        <f t="shared" si="5"/>
        <v>1</v>
      </c>
    </row>
    <row r="46" spans="1:29" ht="15">
      <c r="A46" s="479" t="s">
        <v>2715</v>
      </c>
      <c r="B46" s="2700" t="s">
        <v>2750</v>
      </c>
      <c r="C46" s="682" t="s">
        <v>1</v>
      </c>
      <c r="D46" s="481"/>
      <c r="E46" s="482">
        <v>27207</v>
      </c>
      <c r="F46" s="483"/>
      <c r="G46" s="484">
        <v>26363</v>
      </c>
      <c r="H46" s="485"/>
      <c r="I46" s="482">
        <v>22751</v>
      </c>
      <c r="J46" s="485"/>
      <c r="K46" s="783"/>
      <c r="L46" s="1143"/>
      <c r="M46" s="1144"/>
      <c r="N46" s="1131"/>
      <c r="O46" s="1144"/>
      <c r="P46" s="3330" t="str">
        <f>A46</f>
        <v>成交单价</v>
      </c>
      <c r="Q46" s="3330"/>
      <c r="R46" s="3343">
        <f>E46</f>
        <v>27207</v>
      </c>
      <c r="S46" s="3343"/>
      <c r="T46" s="3343">
        <f>G46</f>
        <v>26363</v>
      </c>
      <c r="U46" s="3343"/>
      <c r="V46" s="3343">
        <f>I46</f>
        <v>22751</v>
      </c>
      <c r="W46" s="3343"/>
      <c r="X46" s="759"/>
      <c r="Y46" s="781"/>
      <c r="Z46" s="759"/>
      <c r="AA46" s="759"/>
      <c r="AB46" s="759"/>
      <c r="AC46" s="759"/>
    </row>
    <row r="47" spans="1:29" ht="15.75" thickBot="1">
      <c r="A47" s="486" t="s">
        <v>2664</v>
      </c>
      <c r="B47" s="683"/>
      <c r="C47" s="490">
        <f>R48</f>
        <v>26793</v>
      </c>
      <c r="D47" s="489"/>
      <c r="E47" s="490">
        <f>R47</f>
        <v>28400</v>
      </c>
      <c r="F47" s="491"/>
      <c r="G47" s="488">
        <f>T47</f>
        <v>27797</v>
      </c>
      <c r="H47" s="489"/>
      <c r="I47" s="490">
        <f>V47</f>
        <v>24182</v>
      </c>
      <c r="J47" s="489"/>
      <c r="K47" s="784"/>
      <c r="L47" s="1143"/>
      <c r="M47" s="1144"/>
      <c r="N47" s="1144"/>
      <c r="O47" s="1144"/>
      <c r="P47" s="3330" t="str">
        <f>A47</f>
        <v>比较价值（元/平方米）</v>
      </c>
      <c r="Q47" s="3330"/>
      <c r="R47" s="3349">
        <f>ROUND(PRODUCT(R46,AA7:AA45),0)</f>
        <v>28400</v>
      </c>
      <c r="S47" s="3349"/>
      <c r="T47" s="3349">
        <f>ROUND(PRODUCT(T46,AB7:AB45),0)</f>
        <v>27797</v>
      </c>
      <c r="U47" s="3349"/>
      <c r="V47" s="3349">
        <f>ROUND(PRODUCT(V46,AC7:AC45),0)</f>
        <v>24182</v>
      </c>
      <c r="W47" s="3349"/>
      <c r="X47" s="759"/>
      <c r="Y47" s="759"/>
      <c r="Z47" s="759"/>
      <c r="AA47" s="759"/>
      <c r="AB47" s="759"/>
      <c r="AC47" s="759"/>
    </row>
    <row r="48" spans="1:29" ht="15.75" thickBot="1">
      <c r="A48" s="492" t="s">
        <v>2751</v>
      </c>
      <c r="B48" s="493"/>
      <c r="C48" s="494">
        <f>R48</f>
        <v>26793</v>
      </c>
      <c r="D48" s="494"/>
      <c r="E48" s="494"/>
      <c r="F48" s="494"/>
      <c r="G48" s="494"/>
      <c r="H48" s="494"/>
      <c r="I48" s="494"/>
      <c r="J48" s="494"/>
      <c r="K48" s="785"/>
      <c r="L48" s="1143"/>
      <c r="M48" s="1144"/>
      <c r="N48" s="1144"/>
      <c r="O48" s="1144"/>
      <c r="P48" s="3350" t="str">
        <f>A48</f>
        <v>估价对象XX用房的比较价值（楼面单价，元/平方米）</v>
      </c>
      <c r="Q48" s="3351"/>
      <c r="R48" s="3352">
        <f>ROUND(AVERAGE(R47:V47),0)</f>
        <v>26793</v>
      </c>
      <c r="S48" s="3352"/>
      <c r="T48" s="3352"/>
      <c r="U48" s="3352"/>
      <c r="V48" s="3352"/>
      <c r="W48" s="335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4.3849009446098375E-2</v>
      </c>
      <c r="F51" s="500" t="str">
        <f>IF(OR(E51&gt;=0.3,E51&lt;=-0.3),"超过30%","")</f>
        <v/>
      </c>
      <c r="G51" s="499">
        <f>IF(G46&lt;G47,G47/G46-1,G46/G47-1)</f>
        <v>5.4394416416948088E-2</v>
      </c>
      <c r="H51" s="500" t="str">
        <f>IF(OR(G51&gt;=0.3,G51&lt;=-0.3),"超过30%","")</f>
        <v/>
      </c>
      <c r="I51" s="499">
        <f>IF(I46&lt;I47,I47/I46-1,I46/I47-1)</f>
        <v>6.2898334139158685E-2</v>
      </c>
      <c r="J51" s="500" t="str">
        <f>IF(OR(I51&gt;=0.3,I51&lt;=-0.3),"超过30%","")</f>
        <v/>
      </c>
      <c r="K51" s="1105"/>
      <c r="L51" s="1106"/>
      <c r="M51" s="1144"/>
      <c r="N51" s="1144"/>
      <c r="O51" s="1144"/>
    </row>
    <row r="52" spans="1:15" ht="13.5" customHeight="1">
      <c r="A52" s="1144"/>
      <c r="B52" s="1144"/>
      <c r="C52" s="497" t="s">
        <v>2667</v>
      </c>
      <c r="D52" s="501"/>
      <c r="E52" s="499">
        <f>IF(E47&lt;G47,G47/E47-1,E47/G47-1)</f>
        <v>2.1692988451991191E-2</v>
      </c>
      <c r="F52" s="500" t="str">
        <f>IF(OR(E52&gt;=0.2,E52&lt;=-0.2),"超过20%","")</f>
        <v/>
      </c>
      <c r="G52" s="499">
        <f>IF(G47&lt;I47,I47/G47-1,G47/I47-1)</f>
        <v>0.14949135720784046</v>
      </c>
      <c r="H52" s="500" t="str">
        <f>IF(OR(G52&gt;=0.2,G52&lt;=-0.2),"超过20%","")</f>
        <v/>
      </c>
      <c r="I52" s="499">
        <f>IF(I47&lt;E47,E47/I47-1,I47/E47-1)</f>
        <v>0.17442725994541397</v>
      </c>
      <c r="J52" s="500" t="str">
        <f>IF(OR(I52&gt;=0.2,I52&lt;=-0.2),"超过20%","")</f>
        <v/>
      </c>
      <c r="K52" s="1105"/>
      <c r="L52" s="1106"/>
      <c r="M52" s="1144"/>
      <c r="N52" s="1144"/>
      <c r="O52" s="1144"/>
    </row>
    <row r="53" spans="1:15" s="502" customFormat="1" ht="13.5" customHeight="1">
      <c r="A53" s="1145"/>
      <c r="B53" s="1145"/>
      <c r="C53" s="497" t="s">
        <v>2668</v>
      </c>
      <c r="D53" s="501"/>
      <c r="E53" s="499">
        <f>IF(E46&lt;G46,G46/E46-1,E46/G46-1)</f>
        <v>3.2014565868831335E-2</v>
      </c>
      <c r="F53" s="500" t="str">
        <f>IF(OR(E53&gt;=0.3,E53&lt;=-0.3),"超过30%","")</f>
        <v/>
      </c>
      <c r="G53" s="499">
        <f>IF(G46&lt;I46,I46/G46-1,G46/I46-1)</f>
        <v>0.15876225220869422</v>
      </c>
      <c r="H53" s="500" t="str">
        <f>IF(OR(G53&gt;=0.3,G53&lt;=-0.3),"超过30%","")</f>
        <v/>
      </c>
      <c r="I53" s="499">
        <f>IF(I46&lt;E46,E46/I46-1,I46/E46-1)</f>
        <v>0.19585952265834461</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1" t="s">
        <v>2754</v>
      </c>
      <c r="D55" s="2702" t="s">
        <v>2755</v>
      </c>
      <c r="E55" s="686" t="s">
        <v>2756</v>
      </c>
      <c r="F55" s="1107" t="s">
        <v>2757</v>
      </c>
      <c r="G55" s="3331" t="s">
        <v>2758</v>
      </c>
      <c r="H55" s="3353"/>
      <c r="I55" s="144" t="s">
        <v>2759</v>
      </c>
      <c r="J55" s="2703">
        <f>项目基本情况!F35</f>
        <v>0</v>
      </c>
      <c r="K55" s="2704" t="s">
        <v>2760</v>
      </c>
      <c r="L55" s="1106"/>
      <c r="M55" s="1144"/>
      <c r="N55" s="1144"/>
      <c r="O55" s="1144"/>
    </row>
    <row r="56" spans="1:15" s="692" customFormat="1">
      <c r="A56" s="688" t="s">
        <v>2761</v>
      </c>
      <c r="B56" s="689">
        <f>C48</f>
        <v>26793</v>
      </c>
      <c r="C56" s="690">
        <v>1</v>
      </c>
      <c r="D56" s="1163">
        <v>1</v>
      </c>
      <c r="E56" s="690">
        <f>'数据-汇总表'!E8+'数据-汇总表'!E9</f>
        <v>51317.149999999921</v>
      </c>
      <c r="F56" s="1103">
        <f t="shared" ref="F56:F65" si="15">ROUND(B56*E56/10000,0)</f>
        <v>137494</v>
      </c>
      <c r="G56" s="3354"/>
      <c r="H56" s="3330"/>
      <c r="I56" s="1108">
        <v>1</v>
      </c>
      <c r="J56" s="1111">
        <v>1</v>
      </c>
      <c r="K56" s="1145"/>
      <c r="L56" s="941"/>
      <c r="M56" s="941"/>
      <c r="N56" s="941"/>
      <c r="O56" s="941"/>
    </row>
    <row r="57" spans="1:15" s="692" customFormat="1">
      <c r="A57" s="693" t="s">
        <v>2762</v>
      </c>
      <c r="B57" s="262">
        <f>ROUND($C$48*C57*D57,0)</f>
        <v>4689</v>
      </c>
      <c r="C57" s="200">
        <f t="shared" ref="C57:C65" si="16">IF($C$55="北京市系数",I57,J57)</f>
        <v>0.7</v>
      </c>
      <c r="D57" s="1164">
        <v>0.25</v>
      </c>
      <c r="E57" s="694"/>
      <c r="F57" s="1103">
        <f t="shared" si="15"/>
        <v>0</v>
      </c>
      <c r="G57" s="3355" t="s">
        <v>2763</v>
      </c>
      <c r="H57" s="1104" t="str">
        <f>项目基本情况!B37</f>
        <v>七级</v>
      </c>
      <c r="I57" s="1108">
        <f>SUMIF(修正!A45:A56,H57,修正!B45:B56)</f>
        <v>0.7</v>
      </c>
      <c r="J57" s="1112"/>
      <c r="K57" s="1144"/>
      <c r="L57" s="941"/>
      <c r="M57" s="941"/>
      <c r="N57" s="941"/>
      <c r="O57" s="941"/>
    </row>
    <row r="58" spans="1:15" s="692" customFormat="1">
      <c r="A58" s="693" t="s">
        <v>2764</v>
      </c>
      <c r="B58" s="262">
        <f t="shared" ref="B58:B65" si="17">ROUND($C$48*C58*D58,0)</f>
        <v>2679</v>
      </c>
      <c r="C58" s="200">
        <f t="shared" si="16"/>
        <v>0.4</v>
      </c>
      <c r="D58" s="1164">
        <v>0.25</v>
      </c>
      <c r="E58" s="694"/>
      <c r="F58" s="1103">
        <f t="shared" si="15"/>
        <v>0</v>
      </c>
      <c r="G58" s="3355"/>
      <c r="H58" s="1104" t="str">
        <f>项目基本情况!B37</f>
        <v>七级</v>
      </c>
      <c r="I58" s="1108">
        <f>SUMIF(修正!A45:A56,H58,修正!C45:C56)</f>
        <v>0.4</v>
      </c>
      <c r="J58" s="1112"/>
      <c r="K58" s="1145"/>
      <c r="L58" s="941"/>
      <c r="M58" s="941"/>
      <c r="N58" s="941"/>
      <c r="O58" s="941"/>
    </row>
    <row r="59" spans="1:15" s="692" customFormat="1">
      <c r="A59" s="693" t="s">
        <v>2765</v>
      </c>
      <c r="B59" s="262">
        <f t="shared" si="17"/>
        <v>1876</v>
      </c>
      <c r="C59" s="200">
        <f t="shared" si="16"/>
        <v>0.28000000000000003</v>
      </c>
      <c r="D59" s="1164">
        <v>0.25</v>
      </c>
      <c r="E59" s="694"/>
      <c r="F59" s="1103">
        <f t="shared" si="15"/>
        <v>0</v>
      </c>
      <c r="G59" s="3355"/>
      <c r="H59" s="1104" t="str">
        <f>项目基本情况!B37</f>
        <v>七级</v>
      </c>
      <c r="I59" s="1108">
        <f>SUMIF(修正!A45:A56,H59,修正!D45:D56)</f>
        <v>0.28000000000000003</v>
      </c>
      <c r="J59" s="1112"/>
      <c r="K59" s="1144"/>
      <c r="L59" s="941"/>
      <c r="M59" s="941"/>
      <c r="N59" s="941"/>
      <c r="O59" s="941"/>
    </row>
    <row r="60" spans="1:15" s="692" customFormat="1">
      <c r="A60" s="693" t="s">
        <v>2766</v>
      </c>
      <c r="B60" s="262">
        <f t="shared" si="17"/>
        <v>1675</v>
      </c>
      <c r="C60" s="200">
        <f t="shared" si="16"/>
        <v>0.25</v>
      </c>
      <c r="D60" s="1164">
        <v>0.25</v>
      </c>
      <c r="E60" s="694"/>
      <c r="F60" s="1103">
        <f t="shared" si="15"/>
        <v>0</v>
      </c>
      <c r="G60" s="3355"/>
      <c r="H60" s="1104" t="str">
        <f>项目基本情况!B37</f>
        <v>七级</v>
      </c>
      <c r="I60" s="1108">
        <f>SUMIF(修正!A45:A56,H60,修正!E45:E56)</f>
        <v>0.25</v>
      </c>
      <c r="J60" s="1112"/>
      <c r="K60" s="1145"/>
      <c r="L60" s="941"/>
      <c r="M60" s="941"/>
      <c r="N60" s="941"/>
      <c r="O60" s="941"/>
    </row>
    <row r="61" spans="1:15" s="692" customFormat="1">
      <c r="A61" s="693" t="s">
        <v>2767</v>
      </c>
      <c r="B61" s="262">
        <f t="shared" si="17"/>
        <v>1675</v>
      </c>
      <c r="C61" s="200">
        <f t="shared" si="16"/>
        <v>0.25</v>
      </c>
      <c r="D61" s="1164">
        <v>0.25</v>
      </c>
      <c r="E61" s="261">
        <f>'数据-汇总表'!E11</f>
        <v>0</v>
      </c>
      <c r="F61" s="1103">
        <f t="shared" si="15"/>
        <v>0</v>
      </c>
      <c r="G61" s="2705" t="s">
        <v>2768</v>
      </c>
      <c r="H61" s="1104" t="str">
        <f>项目基本情况!C37</f>
        <v>七级</v>
      </c>
      <c r="I61" s="1108">
        <f>SUMIF(修正!A45:A56,H61,修正!F45:F56)</f>
        <v>0.25</v>
      </c>
      <c r="J61" s="1112"/>
      <c r="K61" s="1144"/>
      <c r="L61" s="941"/>
      <c r="M61" s="941"/>
      <c r="N61" s="941"/>
      <c r="O61" s="941"/>
    </row>
    <row r="62" spans="1:15" s="692" customFormat="1">
      <c r="A62" s="693" t="s">
        <v>2769</v>
      </c>
      <c r="B62" s="262">
        <f t="shared" si="17"/>
        <v>1675</v>
      </c>
      <c r="C62" s="200">
        <f t="shared" si="16"/>
        <v>0.25</v>
      </c>
      <c r="D62" s="1164">
        <v>0.25</v>
      </c>
      <c r="E62" s="261">
        <f>'数据-汇总表'!E12</f>
        <v>37199.47</v>
      </c>
      <c r="F62" s="1103">
        <f t="shared" si="15"/>
        <v>6231</v>
      </c>
      <c r="G62" s="1109" t="s">
        <v>2770</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2771</v>
      </c>
      <c r="B63" s="262">
        <f t="shared" si="17"/>
        <v>1340</v>
      </c>
      <c r="C63" s="200">
        <f t="shared" si="16"/>
        <v>0.2</v>
      </c>
      <c r="D63" s="1164">
        <v>0.25</v>
      </c>
      <c r="E63" s="261">
        <f>'数据-汇总表'!E13</f>
        <v>25201.510000000002</v>
      </c>
      <c r="F63" s="1103">
        <f t="shared" si="15"/>
        <v>3377</v>
      </c>
      <c r="G63" s="1109" t="s">
        <v>2772</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2773</v>
      </c>
      <c r="B64" s="262">
        <f t="shared" si="17"/>
        <v>1340</v>
      </c>
      <c r="C64" s="200">
        <f t="shared" si="16"/>
        <v>0.2</v>
      </c>
      <c r="D64" s="1164">
        <v>0.25</v>
      </c>
      <c r="E64" s="261">
        <f>'数据-汇总表'!E14</f>
        <v>0</v>
      </c>
      <c r="F64" s="1103">
        <f t="shared" si="15"/>
        <v>0</v>
      </c>
      <c r="G64" s="2705" t="s">
        <v>2763</v>
      </c>
      <c r="H64" s="1104" t="str">
        <f>项目基本情况!B37</f>
        <v>七级</v>
      </c>
      <c r="I64" s="1108">
        <f>SUMIF(修正!A45:A56,H64,修正!H45:H56)</f>
        <v>0.2</v>
      </c>
      <c r="J64" s="1112"/>
      <c r="K64" s="1145"/>
      <c r="L64" s="941"/>
      <c r="M64" s="941"/>
      <c r="N64" s="941"/>
      <c r="O64" s="941"/>
    </row>
    <row r="65" spans="1:17" s="692" customFormat="1" ht="15" thickBot="1">
      <c r="A65" s="693" t="s">
        <v>2774</v>
      </c>
      <c r="B65" s="262">
        <f t="shared" si="17"/>
        <v>1340</v>
      </c>
      <c r="C65" s="200">
        <f t="shared" si="16"/>
        <v>0.2</v>
      </c>
      <c r="D65" s="1164">
        <v>0.25</v>
      </c>
      <c r="E65" s="261">
        <f>'数据-汇总表'!E15</f>
        <v>0</v>
      </c>
      <c r="F65" s="1103">
        <f t="shared" si="15"/>
        <v>0</v>
      </c>
      <c r="G65" s="2706" t="s">
        <v>2768</v>
      </c>
      <c r="H65" s="1114" t="str">
        <f>项目基本情况!C37</f>
        <v>七级</v>
      </c>
      <c r="I65" s="1110">
        <f>SUMIF(修正!A45:A56,H65,修正!H45:H56)</f>
        <v>0.2</v>
      </c>
      <c r="J65" s="1113"/>
      <c r="K65" s="1144"/>
      <c r="L65" s="941"/>
      <c r="M65" s="941"/>
      <c r="N65" s="941"/>
      <c r="O65" s="941"/>
    </row>
    <row r="66" spans="1:17" s="692" customFormat="1" ht="13.5" thickBot="1">
      <c r="A66" s="695" t="s">
        <v>2775</v>
      </c>
      <c r="B66" s="696" t="s">
        <v>28</v>
      </c>
      <c r="C66" s="696" t="s">
        <v>29</v>
      </c>
      <c r="D66" s="696" t="s">
        <v>1029</v>
      </c>
      <c r="E66" s="696">
        <f>IF(B46="楼面地价",SUM(E56:E65),'数据-汇总表'!D3)</f>
        <v>113718.12999999992</v>
      </c>
      <c r="F66" s="697">
        <f>IF(B46="楼面地价",SUM(F56:F65),ROUND(C48*E66/10000,0))</f>
        <v>147102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7" t="s">
        <v>2776</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08" t="s">
        <v>2777</v>
      </c>
      <c r="B71" s="332" t="str">
        <f>"北京市平均增长率"&amp;TEXT(SUMIF(基准地价修正!N21:N25,A71,基准地价修正!P21:P25),"0.00%")</f>
        <v>北京市平均增长率2.55%</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2990" t="s">
        <v>3229</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27.75" thickTop="1">
      <c r="A82" s="553"/>
      <c r="B82" s="538">
        <f>B12</f>
        <v>0</v>
      </c>
      <c r="C82" s="2991" t="s">
        <v>3232</v>
      </c>
      <c r="D82" s="2991" t="s">
        <v>3230</v>
      </c>
      <c r="E82" s="2991" t="s">
        <v>3233</v>
      </c>
      <c r="F82" s="2991" t="s">
        <v>3231</v>
      </c>
      <c r="G82" s="554"/>
      <c r="H82" s="555"/>
      <c r="I82" s="555"/>
      <c r="J82" s="555"/>
      <c r="K82" s="555"/>
      <c r="L82" s="556"/>
      <c r="M82" s="557"/>
      <c r="N82" s="1154"/>
      <c r="O82" s="1154"/>
      <c r="P82" s="558"/>
      <c r="Q82" s="559"/>
    </row>
    <row r="83" spans="1:17" s="471" customFormat="1" ht="15.75" thickBot="1">
      <c r="A83" s="553"/>
      <c r="B83" s="543"/>
      <c r="C83" s="560">
        <v>100</v>
      </c>
      <c r="D83" s="536">
        <v>99</v>
      </c>
      <c r="E83" s="536">
        <v>99</v>
      </c>
      <c r="F83" s="536">
        <v>98</v>
      </c>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2686</v>
      </c>
      <c r="C106" s="2991" t="s">
        <v>3368</v>
      </c>
      <c r="D106" s="2991" t="s">
        <v>3369</v>
      </c>
      <c r="E106" s="2991" t="s">
        <v>3371</v>
      </c>
      <c r="F106" s="2991" t="s">
        <v>3373</v>
      </c>
      <c r="G106" s="2991" t="s">
        <v>3390</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2558</v>
      </c>
      <c r="B116" s="528" t="s">
        <v>2785</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5.75" thickBot="1">
      <c r="A118" s="534"/>
      <c r="B118" s="543"/>
      <c r="C118" s="570">
        <v>100</v>
      </c>
      <c r="D118" s="591">
        <v>103</v>
      </c>
      <c r="E118" s="591">
        <v>106</v>
      </c>
      <c r="F118" s="591">
        <v>109</v>
      </c>
      <c r="G118" s="591"/>
      <c r="H118" s="591"/>
      <c r="I118" s="591"/>
      <c r="J118" s="591"/>
      <c r="K118" s="591"/>
      <c r="L118" s="591"/>
      <c r="M118" s="592"/>
      <c r="N118" s="1153"/>
      <c r="O118" s="1153"/>
      <c r="P118" s="45"/>
      <c r="Q118" s="504"/>
    </row>
    <row r="119" spans="1:17" ht="15" thickTop="1">
      <c r="A119" s="599"/>
      <c r="B119" s="538" t="s">
        <v>2786</v>
      </c>
      <c r="C119" s="2994" t="s">
        <v>3239</v>
      </c>
      <c r="D119" s="2994" t="s">
        <v>3240</v>
      </c>
      <c r="E119" s="2994" t="s">
        <v>3241</v>
      </c>
      <c r="F119" s="2994" t="s">
        <v>3242</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2991" t="s">
        <v>3234</v>
      </c>
      <c r="D123" s="2991" t="s">
        <v>3235</v>
      </c>
      <c r="E123" s="2991" t="s">
        <v>3236</v>
      </c>
      <c r="F123" s="2991" t="s">
        <v>3237</v>
      </c>
      <c r="G123" s="2991" t="s">
        <v>3238</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2798</v>
      </c>
      <c r="B1" s="241"/>
      <c r="C1" s="245" t="s">
        <v>2799</v>
      </c>
      <c r="D1" s="388">
        <f>SUM(D29:D30,D33:D39)</f>
        <v>69283.42999999992</v>
      </c>
      <c r="E1" s="2713"/>
      <c r="F1" s="2713"/>
      <c r="G1" s="2713"/>
      <c r="H1" s="2713"/>
      <c r="I1" s="2713"/>
      <c r="J1" s="2713"/>
      <c r="K1" s="1370"/>
      <c r="L1" s="2714" t="s">
        <v>2800</v>
      </c>
      <c r="M1" s="1080">
        <f>SUMPRODUCT((区片价!B5:B9=I2)*(区片价!C3:F3=E2)*(区片价!C5:F9))</f>
        <v>0</v>
      </c>
      <c r="N1" s="1083">
        <f>SUMPRODUCT((因素修正幅度!B5:B9=I2)*(因素修正幅度!C3:F3=E2)*(因素修正幅度!C5:F9))</f>
        <v>0</v>
      </c>
      <c r="O1" s="2715"/>
      <c r="P1" s="2715"/>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74325</v>
      </c>
      <c r="C2" s="2717" t="s">
        <v>2807</v>
      </c>
      <c r="D2" s="2718" t="s">
        <v>2808</v>
      </c>
      <c r="E2" s="2719" t="s">
        <v>3151</v>
      </c>
      <c r="F2" s="2718" t="s">
        <v>2809</v>
      </c>
      <c r="G2" s="2720" t="str">
        <f>IF(E2="商业",项目基本情况!B37,IF(E2="办公",项目基本情况!C37,IF(E2="住宅",项目基本情况!D37,项目基本情况!E37)))</f>
        <v>七级</v>
      </c>
      <c r="H2" s="2718" t="s">
        <v>2810</v>
      </c>
      <c r="I2" s="2720" t="str">
        <f>IF(E2="商业",项目基本情况!B38,IF(E2="办公",项目基本情况!C38,IF(E2="住宅",项目基本情况!D38,项目基本情况!E38)))</f>
        <v>Ⅶ-昌5</v>
      </c>
      <c r="J2" s="2721"/>
      <c r="K2" s="1370"/>
      <c r="L2" s="2722"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22135</v>
      </c>
      <c r="U2" s="1603"/>
      <c r="V2" s="1602">
        <f ca="1">ROUND(T2*U2/10000,0)</f>
        <v>0</v>
      </c>
      <c r="W2" s="1606"/>
      <c r="X2" s="1606"/>
      <c r="Y2" s="1606"/>
      <c r="Z2" s="1606"/>
      <c r="AA2" s="1606"/>
      <c r="AB2" s="1606"/>
      <c r="AC2" s="1607"/>
      <c r="AD2" s="1608"/>
      <c r="AE2" s="1608"/>
      <c r="AF2" s="1608"/>
      <c r="AG2" s="1608"/>
      <c r="AH2" s="1608"/>
      <c r="AI2" s="1608"/>
      <c r="AJ2" s="1609"/>
    </row>
    <row r="3" spans="1:36" ht="25.5">
      <c r="A3" s="247" t="s">
        <v>2812</v>
      </c>
      <c r="B3" s="248">
        <f ca="1">ROUND(B2*10000/D1,0)</f>
        <v>10728</v>
      </c>
      <c r="C3" s="2717" t="s">
        <v>2813</v>
      </c>
      <c r="D3" s="2718" t="s">
        <v>2814</v>
      </c>
      <c r="E3" s="2723" t="s">
        <v>3252</v>
      </c>
      <c r="F3" s="2724" t="s">
        <v>2815</v>
      </c>
      <c r="G3" s="913">
        <f>IF(F3="宗地容积率",'数据-汇总表'!I4,IF(F3="估价对象容积率",'数据-汇总表'!I6,'数据-汇总表'!I7))</f>
        <v>1.48</v>
      </c>
      <c r="H3" s="198" t="s">
        <v>2816</v>
      </c>
      <c r="I3" s="944"/>
      <c r="J3" s="2721" t="s">
        <v>2817</v>
      </c>
      <c r="K3" s="1370"/>
      <c r="L3" s="2722"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15888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70"/>
      <c r="B4" s="3371"/>
      <c r="C4" s="3371"/>
      <c r="D4" s="3372"/>
      <c r="E4" s="3372"/>
      <c r="F4" s="3372"/>
      <c r="G4" s="3372"/>
      <c r="H4" s="3372"/>
      <c r="I4" s="3372"/>
      <c r="J4" s="3373"/>
      <c r="K4" s="1370"/>
      <c r="L4" s="2722"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12818</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2820</v>
      </c>
      <c r="C5" s="914">
        <f>ROUND(IF(E2="商业",IF(F16="增加",C6*C7+C16,C6*C7-C16),IF(E2="住宅",IF(F16="增加",C6*C12+C16,C6*C12-C16),IF(F16="增加",C6+C16,C6-C16))),0)</f>
        <v>7570</v>
      </c>
      <c r="D5" s="1787">
        <f>ROUND(IF(E2="商业",IF(F16="增加",C6+C16,C6-C16)),0)</f>
        <v>0</v>
      </c>
      <c r="E5" s="2727"/>
      <c r="F5" s="2727"/>
      <c r="G5" s="2728"/>
      <c r="H5" s="2728"/>
      <c r="I5" s="2728"/>
      <c r="J5" s="2729"/>
      <c r="K5" s="2730"/>
      <c r="L5" s="2722"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10285</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2822</v>
      </c>
      <c r="B6" s="2736" t="s">
        <v>2823</v>
      </c>
      <c r="C6" s="915">
        <f>SUMIF(L1:L12,G2,M1:M12)</f>
        <v>7570</v>
      </c>
      <c r="D6" s="2737" t="s">
        <v>2824</v>
      </c>
      <c r="E6" s="2738"/>
      <c r="F6" s="2738"/>
      <c r="G6" s="2739"/>
      <c r="H6" s="2739"/>
      <c r="I6" s="2739"/>
      <c r="J6" s="2740"/>
      <c r="K6" s="1842"/>
      <c r="L6" s="2722"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8758</v>
      </c>
      <c r="U6" s="1603"/>
      <c r="V6" s="1602">
        <f t="shared" ca="1" si="1"/>
        <v>0</v>
      </c>
      <c r="W6" s="1606"/>
      <c r="X6" s="1606"/>
      <c r="Y6" s="1606"/>
      <c r="Z6" s="1606"/>
      <c r="AA6" s="1606"/>
      <c r="AB6" s="1606"/>
      <c r="AC6" s="2731"/>
      <c r="AD6" s="2732"/>
      <c r="AE6" s="2732"/>
      <c r="AF6" s="2732"/>
      <c r="AG6" s="2732"/>
      <c r="AH6" s="2732"/>
      <c r="AI6" s="2732"/>
      <c r="AJ6" s="2733"/>
    </row>
    <row r="7" spans="1:36" ht="24">
      <c r="A7" s="3356" t="str">
        <f>IF(E2="商业",IF(C8="不临58条商业街","",2),"")</f>
        <v/>
      </c>
      <c r="B7" s="2741" t="s">
        <v>2826</v>
      </c>
      <c r="C7" s="916" t="e">
        <f>IF(C8="不临58条商业街",1,ROUND(1+(1.6*E8+1.2*E9+0.8*E10+0.4*E11)*C9,4))</f>
        <v>#DIV/0!</v>
      </c>
      <c r="D7" s="2742" t="s">
        <v>2827</v>
      </c>
      <c r="E7" s="945"/>
      <c r="F7" s="2743"/>
      <c r="G7" s="2744"/>
      <c r="H7" s="2744"/>
      <c r="I7" s="2744"/>
      <c r="J7" s="2745"/>
      <c r="K7" s="1842"/>
      <c r="L7" s="2722" t="s">
        <v>2828</v>
      </c>
      <c r="M7" s="1081">
        <f>SUMPRODUCT((区片价!B158:B205=I2)*(区片价!C3:F3=E2)*(区片价!C158:F205))</f>
        <v>7570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7702</v>
      </c>
      <c r="U7" s="1603"/>
      <c r="V7" s="1602">
        <f t="shared" ca="1" si="1"/>
        <v>0</v>
      </c>
      <c r="W7" s="1816" t="s">
        <v>2829</v>
      </c>
      <c r="X7" s="1604" t="str">
        <f>G2</f>
        <v>七级</v>
      </c>
      <c r="Y7" s="1604" t="s">
        <v>2830</v>
      </c>
      <c r="Z7" s="1605">
        <f>G3</f>
        <v>1.48</v>
      </c>
      <c r="AA7" s="1606"/>
      <c r="AB7" s="1606"/>
      <c r="AC7" s="1607"/>
      <c r="AD7" s="1608"/>
      <c r="AE7" s="1608"/>
      <c r="AF7" s="1608"/>
      <c r="AG7" s="1608"/>
      <c r="AH7" s="1608"/>
      <c r="AI7" s="1608"/>
      <c r="AJ7" s="1609"/>
    </row>
    <row r="8" spans="1:36" ht="15">
      <c r="A8" s="3357"/>
      <c r="B8" s="198" t="s">
        <v>2831</v>
      </c>
      <c r="C8" s="2746"/>
      <c r="D8" s="917" t="s">
        <v>139</v>
      </c>
      <c r="E8" s="918" t="e">
        <f>ROUND(C11/E7,4)</f>
        <v>#DIV/0!</v>
      </c>
      <c r="F8" s="2747" t="s">
        <v>2832</v>
      </c>
      <c r="G8" s="2748"/>
      <c r="H8" s="2748"/>
      <c r="I8" s="2748"/>
      <c r="J8" s="2749"/>
      <c r="K8" s="1370"/>
      <c r="L8" s="2722"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67" t="s">
        <v>2834</v>
      </c>
      <c r="X8" s="3368"/>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357"/>
      <c r="B9" s="198" t="s">
        <v>2847</v>
      </c>
      <c r="C9" s="919">
        <f>SUMIF(修正!C59:C119,C8,修正!E59:E119)</f>
        <v>0</v>
      </c>
      <c r="D9" s="200" t="s">
        <v>140</v>
      </c>
      <c r="E9" s="200" t="e">
        <f>ROUND(C11/E7,4)</f>
        <v>#DIV/0!</v>
      </c>
      <c r="F9" s="2747" t="s">
        <v>2848</v>
      </c>
      <c r="G9" s="2748"/>
      <c r="H9" s="2748"/>
      <c r="I9" s="2748"/>
      <c r="J9" s="2749"/>
      <c r="K9" s="1370"/>
      <c r="L9" s="2722"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69"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57"/>
      <c r="B10" s="198" t="s">
        <v>2852</v>
      </c>
      <c r="C10" s="200">
        <f>SUMIF(修正!C59:C119,C8,修正!F59:F119)</f>
        <v>0</v>
      </c>
      <c r="D10" s="200" t="s">
        <v>141</v>
      </c>
      <c r="E10" s="200" t="e">
        <f>ROUND(C11/E7,4)</f>
        <v>#DIV/0!</v>
      </c>
      <c r="F10" s="2747" t="s">
        <v>2853</v>
      </c>
      <c r="G10" s="2748"/>
      <c r="H10" s="2748"/>
      <c r="I10" s="2748"/>
      <c r="J10" s="2749"/>
      <c r="K10" s="1370"/>
      <c r="L10" s="2722"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6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57"/>
      <c r="B11" s="2750" t="s">
        <v>2855</v>
      </c>
      <c r="C11" s="920">
        <f>C10/4</f>
        <v>0</v>
      </c>
      <c r="D11" s="920" t="s">
        <v>142</v>
      </c>
      <c r="E11" s="920" t="e">
        <f>ROUND(C11/E7,4)</f>
        <v>#DIV/0!</v>
      </c>
      <c r="F11" s="2751" t="s">
        <v>2856</v>
      </c>
      <c r="G11" s="2752"/>
      <c r="H11" s="2752"/>
      <c r="I11" s="2752"/>
      <c r="J11" s="2753"/>
      <c r="K11" s="1370"/>
      <c r="L11" s="2722"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69" t="s">
        <v>2858</v>
      </c>
      <c r="X11" s="1614" t="s">
        <v>2859</v>
      </c>
      <c r="Y11" s="1615">
        <f>$G$3</f>
        <v>1.48</v>
      </c>
      <c r="Z11" s="1615">
        <f t="shared" ref="Z11:AJ11" si="3">$G$3</f>
        <v>1.48</v>
      </c>
      <c r="AA11" s="1615">
        <f t="shared" si="3"/>
        <v>1.48</v>
      </c>
      <c r="AB11" s="1615">
        <f t="shared" si="3"/>
        <v>1.48</v>
      </c>
      <c r="AC11" s="1615">
        <f t="shared" si="3"/>
        <v>1.48</v>
      </c>
      <c r="AD11" s="1615">
        <f t="shared" si="3"/>
        <v>1.48</v>
      </c>
      <c r="AE11" s="1615">
        <f t="shared" si="3"/>
        <v>1.48</v>
      </c>
      <c r="AF11" s="1615">
        <f t="shared" si="3"/>
        <v>1.48</v>
      </c>
      <c r="AG11" s="1615">
        <f t="shared" si="3"/>
        <v>1.48</v>
      </c>
      <c r="AH11" s="1615">
        <f t="shared" si="3"/>
        <v>1.48</v>
      </c>
      <c r="AI11" s="1615">
        <f t="shared" si="3"/>
        <v>1.48</v>
      </c>
      <c r="AJ11" s="1615">
        <f t="shared" si="3"/>
        <v>1.48</v>
      </c>
    </row>
    <row r="12" spans="1:36" ht="25.5" thickBot="1">
      <c r="A12" s="3356" t="s">
        <v>2860</v>
      </c>
      <c r="B12" s="2754" t="s">
        <v>2861</v>
      </c>
      <c r="C12" s="916">
        <f>ROUND(C15*D15*E15*F15*G15*H15*I15*J15,4)</f>
        <v>1</v>
      </c>
      <c r="D12" s="2755" t="s">
        <v>2862</v>
      </c>
      <c r="E12" s="2756"/>
      <c r="F12" s="2756"/>
      <c r="G12" s="2757"/>
      <c r="H12" s="2757"/>
      <c r="I12" s="2757"/>
      <c r="J12" s="2758"/>
      <c r="K12" s="1370"/>
      <c r="L12" s="2759"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69"/>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74"/>
      <c r="B13" s="2760" t="s">
        <v>2865</v>
      </c>
      <c r="C13" s="2761" t="s">
        <v>2866</v>
      </c>
      <c r="D13" s="1808" t="s">
        <v>2867</v>
      </c>
      <c r="E13" s="1808" t="s">
        <v>2868</v>
      </c>
      <c r="F13" s="30" t="s">
        <v>2869</v>
      </c>
      <c r="G13" s="2762" t="s">
        <v>2870</v>
      </c>
      <c r="H13" s="2762" t="s">
        <v>2870</v>
      </c>
      <c r="I13" s="2762" t="s">
        <v>2870</v>
      </c>
      <c r="J13" s="2763" t="s">
        <v>2870</v>
      </c>
      <c r="K13" s="1370"/>
      <c r="L13" s="1370"/>
      <c r="M13" s="1370"/>
      <c r="N13" s="1370"/>
      <c r="O13" s="1370"/>
      <c r="P13" s="1370"/>
      <c r="Q13" s="1370"/>
      <c r="R13" s="1602">
        <v>12</v>
      </c>
      <c r="S13" s="1603"/>
      <c r="T13" s="1602">
        <f t="shared" ca="1" si="0"/>
        <v>0</v>
      </c>
      <c r="U13" s="1603"/>
      <c r="V13" s="1602">
        <f t="shared" ca="1" si="1"/>
        <v>0</v>
      </c>
      <c r="W13" s="3369"/>
      <c r="X13" s="1616"/>
      <c r="Y13" s="1613">
        <f>(-0.163*(Y12^2)-0.59*Y12+7617)*(10^(-4))/Y11</f>
        <v>0.51466216216216221</v>
      </c>
      <c r="Z13" s="1613">
        <f t="shared" ref="Z13:AJ13" si="5">(-0.163*(Z12^2)-0.59*Z12+7617)*(10^(-4))/Z11</f>
        <v>0.51466216216216221</v>
      </c>
      <c r="AA13" s="1613">
        <f t="shared" si="5"/>
        <v>0.51466216216216221</v>
      </c>
      <c r="AB13" s="1613">
        <f t="shared" si="5"/>
        <v>0.51466216216216221</v>
      </c>
      <c r="AC13" s="1613">
        <f t="shared" si="5"/>
        <v>0.51466216216216221</v>
      </c>
      <c r="AD13" s="1613">
        <f t="shared" si="5"/>
        <v>0.51466216216216221</v>
      </c>
      <c r="AE13" s="1613">
        <f t="shared" si="5"/>
        <v>0.51466216216216221</v>
      </c>
      <c r="AF13" s="1613">
        <f t="shared" si="5"/>
        <v>0.51466216216216221</v>
      </c>
      <c r="AG13" s="1613">
        <f t="shared" si="5"/>
        <v>0.51466216216216221</v>
      </c>
      <c r="AH13" s="1613">
        <f t="shared" si="5"/>
        <v>0.51466216216216221</v>
      </c>
      <c r="AI13" s="1613">
        <f t="shared" si="5"/>
        <v>0.51466216216216221</v>
      </c>
      <c r="AJ13" s="1613">
        <f t="shared" si="5"/>
        <v>0.51466216216216221</v>
      </c>
    </row>
    <row r="14" spans="1:36" ht="15">
      <c r="A14" s="3374"/>
      <c r="B14" s="2764"/>
      <c r="C14" s="2765"/>
      <c r="D14" s="2766"/>
      <c r="E14" s="2766"/>
      <c r="F14" s="2767"/>
      <c r="G14" s="2768" t="s">
        <v>2871</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75"/>
      <c r="B15" s="2772" t="s">
        <v>2872</v>
      </c>
      <c r="C15" s="229">
        <f>IF(C14="有",1.1,1)</f>
        <v>1</v>
      </c>
      <c r="D15" s="229">
        <f>IF(D14="有",1.1,1)</f>
        <v>1</v>
      </c>
      <c r="E15" s="229">
        <f>IF(E14="有",1.1,1)</f>
        <v>1</v>
      </c>
      <c r="F15" s="229">
        <f>IF(F14="500米范围内",1.2,IF(F14="500-1000米",1.1,1))</f>
        <v>1</v>
      </c>
      <c r="G15" s="946">
        <v>1</v>
      </c>
      <c r="H15" s="946">
        <v>1</v>
      </c>
      <c r="I15" s="946">
        <v>1</v>
      </c>
      <c r="J15" s="947">
        <v>1</v>
      </c>
      <c r="K15" s="1370"/>
      <c r="L15" s="2773" t="s">
        <v>2808</v>
      </c>
      <c r="M15" s="917" t="s">
        <v>2873</v>
      </c>
      <c r="N15" s="917" t="s">
        <v>2874</v>
      </c>
      <c r="O15" s="917" t="s">
        <v>2875</v>
      </c>
      <c r="P15" s="2774" t="s">
        <v>2876</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56" t="s">
        <v>2877</v>
      </c>
      <c r="B16" s="2741" t="s">
        <v>2878</v>
      </c>
      <c r="C16" s="1801">
        <f>ROUND(SUM(G17:J17)/C17,0)</f>
        <v>0</v>
      </c>
      <c r="D16" s="2775" t="s">
        <v>2879</v>
      </c>
      <c r="E16" s="2776"/>
      <c r="F16" s="2777"/>
      <c r="G16" s="2778"/>
      <c r="H16" s="2778"/>
      <c r="I16" s="2778"/>
      <c r="J16" s="2779"/>
      <c r="K16" s="1370"/>
      <c r="L16" s="2780" t="s">
        <v>2880</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57"/>
      <c r="B17" s="2781" t="s">
        <v>2881</v>
      </c>
      <c r="C17" s="921">
        <f>SUMPRODUCT((修正!A2:A5=E2)*(修正!B1:M1=G2)*(修正!B2:M5))</f>
        <v>2.5</v>
      </c>
      <c r="D17" s="2782" t="s">
        <v>2882</v>
      </c>
      <c r="E17" s="920" t="str">
        <f>IF(OR(G2="八级",G2="九级",G2="十级",G2="十一级",G2="十二级"),"五通一平","七通一平")</f>
        <v>七通一平</v>
      </c>
      <c r="F17" s="921" t="s">
        <v>2883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2885</v>
      </c>
      <c r="C18" s="923">
        <f>SUMIF(修正!C18:C39,E3,修正!E18:E39)</f>
        <v>1</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9.25" thickBot="1">
      <c r="A19" s="2785" t="s">
        <v>809</v>
      </c>
      <c r="B19" s="2786" t="s">
        <v>2886</v>
      </c>
      <c r="C19" s="924">
        <f>ROUND(IF(H19="按公示增长率计算",SUMPRODUCT((地价!A3:A21=YEAR(G19)&amp;"-"&amp;ROUNDUP(MONTH(G19)/3,0))*(地价!X2:AB2=E2)*(地价!X3:AB21)),IF(H19="地价指数",M20/M19,(1+I19)^O19)),4)</f>
        <v>1.4825999999999999</v>
      </c>
      <c r="D19" s="2793" t="s">
        <v>2887</v>
      </c>
      <c r="E19" s="925">
        <v>41640</v>
      </c>
      <c r="F19" s="2793" t="s">
        <v>2888</v>
      </c>
      <c r="G19" s="926">
        <f>'数据-取费表'!B2</f>
        <v>43111</v>
      </c>
      <c r="H19" s="2794" t="s">
        <v>3253</v>
      </c>
      <c r="I19" s="927" t="str">
        <f>IF(H19="季度增幅（自定义）",SUMIF(N21:N24,E2,O21:O24),"")</f>
        <v/>
      </c>
      <c r="J19" s="2791"/>
      <c r="K19" s="1377"/>
      <c r="L19" s="2795" t="s">
        <v>2889</v>
      </c>
      <c r="M19" s="1734">
        <f>ROUND(SUMIF(地价!B2:F2,E2,地价!B21:F21),0)</f>
        <v>423</v>
      </c>
      <c r="N19" s="2796" t="s">
        <v>2890</v>
      </c>
      <c r="O19" s="928">
        <f>ROUNDDOWN(DATEDIF(E19,G19,"M")/3,0)</f>
        <v>16</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2891</v>
      </c>
      <c r="C20" s="929">
        <f ca="1">ROUND(POWER(1+G20,J20-I20)*(POWER(1+G20,I20)-1)/(POWER(1+G20,J20)-1),4)</f>
        <v>0.99650000000000005</v>
      </c>
      <c r="D20" s="2802" t="s">
        <v>2892</v>
      </c>
      <c r="E20" s="1768">
        <f ca="1">存贷款利率!D4/100</f>
        <v>4.3499999999999997E-2</v>
      </c>
      <c r="F20" s="2802" t="s">
        <v>2884</v>
      </c>
      <c r="G20" s="934">
        <f ca="1">SUMIF(M15:P15,E2,M17:P17)</f>
        <v>0.05</v>
      </c>
      <c r="H20" s="2802" t="s">
        <v>2893</v>
      </c>
      <c r="I20" s="935">
        <f>SUMIF('数据-取费表'!C6:C15,E2,'数据-取费表'!F6:F15)/COUNTIF('数据-取费表'!C6:C15,E2)</f>
        <v>67.97</v>
      </c>
      <c r="J20" s="936">
        <f>IF(E2="住宅",70,IF(E2="商业",40,50))</f>
        <v>70</v>
      </c>
      <c r="K20" s="1377"/>
      <c r="L20" s="2803" t="s">
        <v>2894</v>
      </c>
      <c r="M20" s="1735">
        <f>ROUND(SUMPRODUCT((地价!A4:A21=YEAR(G19)&amp;"-"&amp;ROUNDUP(MONTH(G19)/3,0))*(地价!B2:F2=E2)*(地价!B4:F21)),0)</f>
        <v>626</v>
      </c>
      <c r="N20" s="2804" t="s">
        <v>2895</v>
      </c>
      <c r="O20" s="2805" t="s">
        <v>2896</v>
      </c>
      <c r="P20" s="2806" t="s">
        <v>2897</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3254</v>
      </c>
      <c r="C21" s="937">
        <f>IF(B21="容积率修正",IF(G3&lt;=10,D22,J22),C23)</f>
        <v>1.1414</v>
      </c>
      <c r="D21" s="2809"/>
      <c r="E21" s="2809"/>
      <c r="F21" s="2809"/>
      <c r="G21" s="2809"/>
      <c r="H21" s="2809"/>
      <c r="I21" s="2809"/>
      <c r="J21" s="2810"/>
      <c r="K21" s="1377"/>
      <c r="N21" s="2811" t="s">
        <v>2898</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4" customFormat="1" ht="14.25">
      <c r="A22" s="2660" t="s">
        <v>2899</v>
      </c>
      <c r="B22" s="2812" t="s">
        <v>2900</v>
      </c>
      <c r="C22" s="1810" t="s">
        <v>2901</v>
      </c>
      <c r="D22" s="1810">
        <f>IF(E22=G22,F22,IF(G3&lt;=10,ROUND(F22+(H22-F22)*(G3-E22)/(G22-E22),4),"——"))</f>
        <v>1.1414</v>
      </c>
      <c r="E22" s="913">
        <f>ROUNDDOWN(G3,1)</f>
        <v>1.4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913">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810" t="s">
        <v>155</v>
      </c>
      <c r="J22" s="938" t="str">
        <f>IF(G3&gt;10,D113,"——")</f>
        <v>——</v>
      </c>
      <c r="K22" s="1377"/>
      <c r="N22" s="2811" t="s">
        <v>2902</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0" t="s">
        <v>2903</v>
      </c>
      <c r="B23" s="2813" t="s">
        <v>2904</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2905</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2906</v>
      </c>
      <c r="C24" s="924">
        <f>SUMIF(A45:A88,E2,B45:B88)</f>
        <v>1.0624</v>
      </c>
      <c r="D24" s="2789"/>
      <c r="E24" s="2819"/>
      <c r="F24" s="2819"/>
      <c r="G24" s="2819"/>
      <c r="H24" s="2819"/>
      <c r="I24" s="2819"/>
      <c r="J24" s="2820"/>
      <c r="K24" s="1377"/>
      <c r="N24" s="2821" t="s">
        <v>2907</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2908</v>
      </c>
      <c r="C25" s="930"/>
      <c r="D25" s="2744"/>
      <c r="E25" s="2744"/>
      <c r="F25" s="2823"/>
      <c r="G25" s="2744"/>
      <c r="H25" s="2744"/>
      <c r="I25" s="2744"/>
      <c r="J25" s="2745"/>
      <c r="K25" s="1370"/>
      <c r="N25" s="2824" t="s">
        <v>2909</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5"/>
      <c r="B26" s="2812" t="s">
        <v>2910</v>
      </c>
      <c r="C26" s="206">
        <f ca="1">E29+SUM(E33:E39)</f>
        <v>74325</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2911</v>
      </c>
      <c r="C27" s="931" t="e">
        <f ca="1">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2912</v>
      </c>
      <c r="C28" s="2836" t="s">
        <v>2913</v>
      </c>
      <c r="D28" s="2836" t="s">
        <v>2914</v>
      </c>
      <c r="E28" s="2837" t="s">
        <v>2915</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2916</v>
      </c>
      <c r="C29" s="206">
        <f ca="1">ROUND(C5*C18*C19*C20*C21*C24,0)</f>
        <v>13562</v>
      </c>
      <c r="D29" s="2841">
        <f>'数据-汇总表'!F27</f>
        <v>51317.149999999929</v>
      </c>
      <c r="E29" s="942">
        <f ca="1">ROUND(C29*D29/10000,0)</f>
        <v>69596</v>
      </c>
      <c r="F29" s="2842" t="s">
        <v>2917</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2918</v>
      </c>
      <c r="C30" s="229">
        <f ca="1">ROUND(IF(E2="工业",C29*M39,C29*M38),0)</f>
        <v>3391</v>
      </c>
      <c r="D30" s="2847"/>
      <c r="E30" s="942">
        <f ca="1">ROUND(C30*D30/10000,0)</f>
        <v>0</v>
      </c>
      <c r="F30" s="2848" t="s">
        <v>2919</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2920</v>
      </c>
      <c r="C31" s="2853" t="s">
        <v>2921</v>
      </c>
      <c r="D31" s="2757"/>
      <c r="E31" s="2853"/>
      <c r="F31" s="2853"/>
      <c r="G31" s="2755" t="s">
        <v>2922</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2913</v>
      </c>
      <c r="D32" s="498" t="s">
        <v>2914</v>
      </c>
      <c r="E32" s="498" t="s">
        <v>2915</v>
      </c>
      <c r="F32" s="388" t="s">
        <v>2923</v>
      </c>
      <c r="G32" s="2856" t="s">
        <v>2913</v>
      </c>
      <c r="H32" s="2856" t="s">
        <v>2914</v>
      </c>
      <c r="I32" s="285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64" t="s">
        <v>2924</v>
      </c>
      <c r="B33" s="2857" t="s">
        <v>2925</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5"/>
      <c r="B34" s="2761" t="s">
        <v>2926</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5"/>
      <c r="B35" s="2761" t="s">
        <v>2927</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366"/>
      <c r="B36" s="2761" t="s">
        <v>2928</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2929</v>
      </c>
      <c r="C37" s="200">
        <f ca="1">ROUND(C5*C19*C20*C24*F37,0)</f>
        <v>2970</v>
      </c>
      <c r="D37" s="2841"/>
      <c r="E37" s="200">
        <f t="shared" ca="1" si="7"/>
        <v>0</v>
      </c>
      <c r="F37" s="206">
        <f>SUMIF(修正!A45:A56,G2,修正!F45:F56)</f>
        <v>0.25</v>
      </c>
      <c r="G37" s="200">
        <f t="shared" ca="1" si="6"/>
        <v>743</v>
      </c>
      <c r="H37" s="200">
        <f t="shared" si="8"/>
        <v>0</v>
      </c>
      <c r="I37" s="200">
        <f t="shared" ca="1" si="9"/>
        <v>0</v>
      </c>
      <c r="J37" s="2858"/>
      <c r="K37" s="1370"/>
      <c r="L37" s="2860" t="s">
        <v>2930</v>
      </c>
      <c r="M37" s="2861"/>
      <c r="N37" s="1370"/>
      <c r="O37" s="1370"/>
      <c r="P37" s="1370"/>
      <c r="Q37" s="1370"/>
      <c r="R37" s="1370"/>
      <c r="S37" s="1370"/>
      <c r="T37" s="1370"/>
      <c r="U37" s="1370"/>
      <c r="V37" s="1370"/>
      <c r="W37" s="1370"/>
      <c r="X37" s="1370"/>
      <c r="Y37" s="1370"/>
      <c r="Z37" s="1371"/>
    </row>
    <row r="38" spans="1:37">
      <c r="A38" s="2859"/>
      <c r="B38" s="2761" t="s">
        <v>2931</v>
      </c>
      <c r="C38" s="200">
        <f ca="1">ROUND(C5*C19*C20*C24*F38,0)</f>
        <v>2970</v>
      </c>
      <c r="D38" s="2841">
        <f>'数据-汇总表'!G21</f>
        <v>7758.13</v>
      </c>
      <c r="E38" s="200">
        <f t="shared" ca="1" si="7"/>
        <v>2304</v>
      </c>
      <c r="F38" s="206">
        <f>SUMIF(修正!A45:A56,G2,修正!G45:G56)</f>
        <v>0.25</v>
      </c>
      <c r="G38" s="200">
        <f t="shared" ca="1" si="6"/>
        <v>743</v>
      </c>
      <c r="H38" s="200">
        <f t="shared" si="8"/>
        <v>7758.13</v>
      </c>
      <c r="I38" s="200">
        <f t="shared" ca="1" si="9"/>
        <v>576</v>
      </c>
      <c r="J38" s="2858"/>
      <c r="K38" s="1370"/>
      <c r="L38" s="1887" t="s">
        <v>2932</v>
      </c>
      <c r="M38" s="2862">
        <v>0.25</v>
      </c>
      <c r="N38" s="1370"/>
      <c r="O38" s="1370"/>
      <c r="P38" s="1370"/>
      <c r="Q38" s="1370"/>
      <c r="R38" s="1370"/>
      <c r="S38" s="1370"/>
      <c r="T38" s="1370"/>
      <c r="U38" s="1370"/>
      <c r="V38" s="1370"/>
      <c r="W38" s="1370"/>
      <c r="X38" s="1370"/>
      <c r="Y38" s="1370"/>
      <c r="Z38" s="1371"/>
    </row>
    <row r="39" spans="1:37" ht="13.5" thickBot="1">
      <c r="A39" s="2845"/>
      <c r="B39" s="2863" t="s">
        <v>2933</v>
      </c>
      <c r="C39" s="229">
        <f ca="1">ROUND(C5*C19*C20*C24*F39,0)</f>
        <v>2376</v>
      </c>
      <c r="D39" s="2847">
        <f>'数据-汇总表'!G22</f>
        <v>10208.15</v>
      </c>
      <c r="E39" s="229">
        <f t="shared" ca="1" si="7"/>
        <v>2425</v>
      </c>
      <c r="F39" s="932">
        <f>SUMIF(修正!A45:A56,G2,修正!H45:H56)</f>
        <v>0.2</v>
      </c>
      <c r="G39" s="229" t="e">
        <f t="shared" si="6"/>
        <v>#DIV/0!</v>
      </c>
      <c r="H39" s="229">
        <f t="shared" si="8"/>
        <v>10208.15</v>
      </c>
      <c r="I39" s="229" t="e">
        <f t="shared" si="9"/>
        <v>#DIV/0!</v>
      </c>
      <c r="J39" s="2864"/>
      <c r="K39" s="1370"/>
      <c r="L39" s="2865" t="s">
        <v>2876</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2934</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2935</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2936</v>
      </c>
      <c r="B47" s="1809" t="s">
        <v>2937</v>
      </c>
      <c r="C47" s="1809" t="s">
        <v>2938</v>
      </c>
      <c r="D47" s="1809" t="s">
        <v>2939</v>
      </c>
      <c r="E47" s="816" t="s">
        <v>2940</v>
      </c>
      <c r="F47" s="2875" t="s">
        <v>2941</v>
      </c>
      <c r="G47" s="1809" t="s">
        <v>754</v>
      </c>
      <c r="H47" s="2876" t="s">
        <v>2942</v>
      </c>
      <c r="I47" s="1809"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4" t="s">
        <v>2944</v>
      </c>
      <c r="B48" s="2877" t="str">
        <f>估价对象房地状况!C4</f>
        <v>估价对象位于XX商圈，周边商业氛围成熟，人流量大，商业繁华度好</v>
      </c>
      <c r="C48" s="2766"/>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4" t="s">
        <v>2945</v>
      </c>
      <c r="B49" s="2878" t="str">
        <f>估价对象房地状况!C18</f>
        <v>估价对象多面临街，周边道路路网较为密集，公共交通通达情况较好，有417、533路等、停车便捷程度较好，综合评价交通便捷度较好。</v>
      </c>
      <c r="C49" s="2766"/>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c r="A50" s="2874" t="s">
        <v>2946</v>
      </c>
      <c r="B50" s="2878" t="str">
        <f>估价对象房地状况!C19</f>
        <v>区域内多为住宅用地，对土地利用无不利影响。</v>
      </c>
      <c r="C50" s="2766"/>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2947</v>
      </c>
      <c r="B51" s="2879" t="s">
        <v>2948</v>
      </c>
      <c r="C51" s="2766"/>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2949</v>
      </c>
      <c r="B52" s="2878" t="str">
        <f>估价对象房地状况!C24</f>
        <v>城市支路——沟自头街</v>
      </c>
      <c r="C52" s="2766"/>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2950</v>
      </c>
      <c r="B53" s="2880" t="s">
        <v>2951</v>
      </c>
      <c r="C53" s="2766"/>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1" t="s">
        <v>2952</v>
      </c>
      <c r="B5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54" s="2766"/>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2953</v>
      </c>
      <c r="B55" s="2878" t="str">
        <f>估价对象房地状况!C22</f>
        <v>估价对象所在区域基础设施水平达到“七通”。</v>
      </c>
      <c r="C55" s="2766"/>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2954</v>
      </c>
      <c r="B56" s="2883" t="str">
        <f>估价对象房地状况!C20</f>
        <v>区域自然环境：未来科技城滨河公园；人文环境：无展览馆、博物馆等；综合评价环境状况一般。</v>
      </c>
      <c r="C56" s="2766"/>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2955</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2936</v>
      </c>
      <c r="B58" s="1809"/>
      <c r="C58" s="1809" t="s">
        <v>2938</v>
      </c>
      <c r="D58" s="1809" t="s">
        <v>2939</v>
      </c>
      <c r="E58" s="816" t="s">
        <v>2940</v>
      </c>
      <c r="F58" s="2875" t="s">
        <v>2956</v>
      </c>
      <c r="G58" s="1809" t="s">
        <v>754</v>
      </c>
      <c r="H58" s="2876" t="s">
        <v>2942</v>
      </c>
      <c r="I58" s="1809"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4" t="s">
        <v>2957</v>
      </c>
      <c r="B59" s="2877" t="str">
        <f>估价对象房地状况!C17</f>
        <v>估价对象位于XX商圈，周边办公楼项目较多，入驻率高，办公集聚程度较好</v>
      </c>
      <c r="C59" s="2766"/>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4" t="s">
        <v>2945</v>
      </c>
      <c r="B60" s="2878" t="str">
        <f>估价对象房地状况!C18</f>
        <v>估价对象多面临街，周边道路路网较为密集，公共交通通达情况较好，有417、533路等、停车便捷程度较好，综合评价交通便捷度较好。</v>
      </c>
      <c r="C60" s="2766"/>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5.5">
      <c r="A61" s="2874" t="s">
        <v>2946</v>
      </c>
      <c r="B61" s="2878" t="str">
        <f>估价对象房地状况!C19</f>
        <v>区域内多为住宅用地，对土地利用无不利影响。</v>
      </c>
      <c r="C61" s="2766"/>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2947</v>
      </c>
      <c r="B62" s="2879" t="s">
        <v>2948</v>
      </c>
      <c r="C62" s="2766"/>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2949</v>
      </c>
      <c r="B63" s="2878" t="str">
        <f>估价对象房地状况!C24</f>
        <v>城市支路——沟自头街</v>
      </c>
      <c r="C63" s="2766"/>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2950</v>
      </c>
      <c r="B64" s="2880" t="s">
        <v>2951</v>
      </c>
      <c r="C64" s="2766"/>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4" t="s">
        <v>2952</v>
      </c>
      <c r="B65"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65" s="2766"/>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2953</v>
      </c>
      <c r="B66" s="1725" t="str">
        <f>估价对象房地状况!C22</f>
        <v>估价对象所在区域基础设施水平达到“七通”。</v>
      </c>
      <c r="C66" s="2766"/>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2954</v>
      </c>
      <c r="B67" s="2884" t="str">
        <f>估价对象房地状况!C20</f>
        <v>区域自然环境：未来科技城滨河公园；人文环境：无展览馆、博物馆等；综合评价环境状况一般。</v>
      </c>
      <c r="C67" s="2766"/>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2958</v>
      </c>
      <c r="B68" s="2871">
        <f>1+E70</f>
        <v>1.0624</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2936</v>
      </c>
      <c r="B69" s="1809"/>
      <c r="C69" s="1809" t="s">
        <v>2938</v>
      </c>
      <c r="D69" s="1809" t="s">
        <v>2939</v>
      </c>
      <c r="E69" s="816" t="s">
        <v>2940</v>
      </c>
      <c r="F69" s="2875" t="s">
        <v>2956</v>
      </c>
      <c r="G69" s="1809" t="s">
        <v>754</v>
      </c>
      <c r="H69" s="2876" t="s">
        <v>2942</v>
      </c>
      <c r="I69" s="1809"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89.25">
      <c r="A70" s="2874" t="s">
        <v>2959</v>
      </c>
      <c r="B70" s="2877" t="str">
        <f>估价对象房地状况!C15</f>
        <v>估价对象周边居住用地比例大、居住小区规模大且社区发展完善程度较好，如北京晨浩花园、海德堡小区、柏林在线等住宅小区，综合评价居住社区成熟度好。</v>
      </c>
      <c r="C70" s="2766" t="s">
        <v>3190</v>
      </c>
      <c r="D70" s="1286">
        <f t="shared" ref="D70:D78" si="20">SUMIF($J$69:$N$69,C70,J70:N70)</f>
        <v>1.7600000000000001E-2</v>
      </c>
      <c r="E70" s="818">
        <f>ROUND(SUM(D70:D78),4)</f>
        <v>6.2399999999999997E-2</v>
      </c>
      <c r="F70" s="2499">
        <f>IF(E2="住宅",SUMIF(L1:L12,G2,N1:N12),"——")</f>
        <v>0.127</v>
      </c>
      <c r="G70" s="1284">
        <f t="shared" ref="G70:G78" si="21">H70</f>
        <v>8.8000000000000005E-3</v>
      </c>
      <c r="H70" s="1288">
        <f t="shared" ref="H70:H78" si="22">IFERROR(ROUNDDOWN($F$70*I70/2,4),"——")</f>
        <v>8.8000000000000005E-3</v>
      </c>
      <c r="I70" s="817">
        <v>0.14000000000000001</v>
      </c>
      <c r="J70" s="1285">
        <f t="shared" ref="J70:J78" si="23">K70+$G70</f>
        <v>1.7600000000000001E-2</v>
      </c>
      <c r="K70" s="1285">
        <f t="shared" ref="K70:K78" si="24">$L70+$G70</f>
        <v>8.8000000000000005E-3</v>
      </c>
      <c r="L70" s="1285">
        <v>0</v>
      </c>
      <c r="M70" s="1285">
        <f t="shared" ref="M70:N78" si="25">L70-$G70</f>
        <v>-8.8000000000000005E-3</v>
      </c>
      <c r="N70" s="1285">
        <f t="shared" si="25"/>
        <v>-1.7600000000000001E-2</v>
      </c>
      <c r="AA70" s="1371"/>
      <c r="AB70" s="1371"/>
      <c r="AC70" s="1371"/>
      <c r="AD70" s="1371"/>
      <c r="AE70" s="1371"/>
      <c r="AF70" s="1371"/>
      <c r="AG70" s="1371"/>
      <c r="AH70" s="1371"/>
      <c r="AI70" s="1371"/>
      <c r="AJ70" s="1371"/>
      <c r="AK70" s="1371"/>
    </row>
    <row r="71" spans="1:37" s="1370" customFormat="1" ht="76.5">
      <c r="A71" s="2874" t="s">
        <v>2945</v>
      </c>
      <c r="B71" s="2878" t="str">
        <f>估价对象房地状况!C18</f>
        <v>估价对象多面临街，周边道路路网较为密集，公共交通通达情况较好，有417、533路等、停车便捷程度较好，综合评价交通便捷度较好。</v>
      </c>
      <c r="C71" s="2766" t="s">
        <v>3189</v>
      </c>
      <c r="D71" s="1286">
        <f t="shared" si="20"/>
        <v>1.9E-2</v>
      </c>
      <c r="E71" s="823"/>
      <c r="F71" s="2499"/>
      <c r="G71" s="1284">
        <f t="shared" si="21"/>
        <v>1.9E-2</v>
      </c>
      <c r="H71" s="1288">
        <f t="shared" si="22"/>
        <v>1.9E-2</v>
      </c>
      <c r="I71" s="817">
        <v>0.3</v>
      </c>
      <c r="J71" s="1285">
        <f t="shared" si="23"/>
        <v>3.7999999999999999E-2</v>
      </c>
      <c r="K71" s="1285">
        <f t="shared" si="24"/>
        <v>1.9E-2</v>
      </c>
      <c r="L71" s="1285">
        <v>0</v>
      </c>
      <c r="M71" s="1285">
        <f t="shared" si="25"/>
        <v>-1.9E-2</v>
      </c>
      <c r="N71" s="1285">
        <f t="shared" si="25"/>
        <v>-3.7999999999999999E-2</v>
      </c>
      <c r="AA71" s="1371"/>
      <c r="AB71" s="1371"/>
      <c r="AC71" s="1371"/>
      <c r="AD71" s="1371"/>
      <c r="AE71" s="1371"/>
      <c r="AF71" s="1371"/>
      <c r="AG71" s="1371"/>
      <c r="AH71" s="1371"/>
      <c r="AI71" s="1371"/>
      <c r="AJ71" s="1371"/>
      <c r="AK71" s="1371"/>
    </row>
    <row r="72" spans="1:37" s="1370" customFormat="1" ht="25.5">
      <c r="A72" s="2874" t="s">
        <v>2946</v>
      </c>
      <c r="B72" s="2878" t="str">
        <f>估价对象房地状况!C19</f>
        <v>区域内多为住宅用地，对土地利用无不利影响。</v>
      </c>
      <c r="C72" s="2766" t="s">
        <v>3189</v>
      </c>
      <c r="D72" s="1286">
        <f t="shared" si="20"/>
        <v>5.0000000000000001E-3</v>
      </c>
      <c r="E72" s="823"/>
      <c r="F72" s="2499"/>
      <c r="G72" s="1284">
        <f t="shared" si="21"/>
        <v>5.0000000000000001E-3</v>
      </c>
      <c r="H72" s="1288">
        <f t="shared" si="22"/>
        <v>5.0000000000000001E-3</v>
      </c>
      <c r="I72" s="817">
        <v>0.08</v>
      </c>
      <c r="J72" s="1285">
        <f t="shared" si="23"/>
        <v>0.01</v>
      </c>
      <c r="K72" s="1285">
        <f t="shared" si="24"/>
        <v>5.0000000000000001E-3</v>
      </c>
      <c r="L72" s="1285">
        <v>0</v>
      </c>
      <c r="M72" s="1285">
        <f t="shared" si="25"/>
        <v>-5.0000000000000001E-3</v>
      </c>
      <c r="N72" s="1285">
        <f t="shared" si="25"/>
        <v>-0.01</v>
      </c>
      <c r="AA72" s="1371"/>
      <c r="AB72" s="1371"/>
      <c r="AC72" s="1371"/>
      <c r="AD72" s="1371"/>
      <c r="AE72" s="1371"/>
      <c r="AF72" s="1371"/>
      <c r="AG72" s="1371"/>
      <c r="AH72" s="1371"/>
      <c r="AI72" s="1371"/>
      <c r="AJ72" s="1371"/>
      <c r="AK72" s="1371"/>
    </row>
    <row r="73" spans="1:37" s="1370" customFormat="1" ht="14.25">
      <c r="A73" s="2874" t="s">
        <v>2960</v>
      </c>
      <c r="B73" s="2878" t="str">
        <f>估价对象房地状况!C24</f>
        <v>城市支路——沟自头街</v>
      </c>
      <c r="C73" s="2766" t="s">
        <v>3255</v>
      </c>
      <c r="D73" s="1286">
        <f t="shared" si="20"/>
        <v>-2.5000000000000001E-3</v>
      </c>
      <c r="E73" s="823"/>
      <c r="F73" s="2499"/>
      <c r="G73" s="1284">
        <f t="shared" si="21"/>
        <v>2.5000000000000001E-3</v>
      </c>
      <c r="H73" s="1288">
        <f t="shared" si="22"/>
        <v>2.5000000000000001E-3</v>
      </c>
      <c r="I73" s="817">
        <v>0.04</v>
      </c>
      <c r="J73" s="1285">
        <f t="shared" si="23"/>
        <v>5.0000000000000001E-3</v>
      </c>
      <c r="K73" s="1285">
        <f t="shared" si="24"/>
        <v>2.5000000000000001E-3</v>
      </c>
      <c r="L73" s="1285">
        <v>0</v>
      </c>
      <c r="M73" s="1285">
        <f t="shared" si="25"/>
        <v>-2.5000000000000001E-3</v>
      </c>
      <c r="N73" s="1285">
        <f t="shared" si="25"/>
        <v>-5.0000000000000001E-3</v>
      </c>
      <c r="AA73" s="1371"/>
      <c r="AB73" s="1371"/>
      <c r="AC73" s="1371"/>
      <c r="AD73" s="1371"/>
      <c r="AE73" s="1371"/>
      <c r="AF73" s="1371"/>
      <c r="AG73" s="1371"/>
      <c r="AH73" s="1371"/>
      <c r="AI73" s="1371"/>
      <c r="AJ73" s="1371"/>
      <c r="AK73" s="1371"/>
    </row>
    <row r="74" spans="1:37" s="1370" customFormat="1" ht="127.5">
      <c r="A74" s="2874" t="s">
        <v>2952</v>
      </c>
      <c r="B7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74" s="2766" t="s">
        <v>3189</v>
      </c>
      <c r="D74" s="1286">
        <f t="shared" si="20"/>
        <v>5.0000000000000001E-3</v>
      </c>
      <c r="E74" s="823"/>
      <c r="F74" s="2499"/>
      <c r="G74" s="1284">
        <f t="shared" si="21"/>
        <v>5.0000000000000001E-3</v>
      </c>
      <c r="H74" s="1288">
        <f t="shared" si="22"/>
        <v>5.0000000000000001E-3</v>
      </c>
      <c r="I74" s="817">
        <v>0.08</v>
      </c>
      <c r="J74" s="1285">
        <f t="shared" si="23"/>
        <v>0.01</v>
      </c>
      <c r="K74" s="1285">
        <f t="shared" si="24"/>
        <v>5.0000000000000001E-3</v>
      </c>
      <c r="L74" s="1285">
        <v>0</v>
      </c>
      <c r="M74" s="1285">
        <f t="shared" si="25"/>
        <v>-5.0000000000000001E-3</v>
      </c>
      <c r="N74" s="1285">
        <f t="shared" si="25"/>
        <v>-0.01</v>
      </c>
      <c r="AA74" s="1371"/>
      <c r="AB74" s="1371"/>
      <c r="AC74" s="1371"/>
      <c r="AD74" s="1371"/>
      <c r="AE74" s="1371"/>
      <c r="AF74" s="1371"/>
      <c r="AG74" s="1371"/>
      <c r="AH74" s="1371"/>
      <c r="AI74" s="1371"/>
      <c r="AJ74" s="1371"/>
      <c r="AK74" s="1371"/>
    </row>
    <row r="75" spans="1:37" s="1370" customFormat="1" ht="25.5">
      <c r="A75" s="2874" t="s">
        <v>2953</v>
      </c>
      <c r="B75" s="1725" t="str">
        <f>估价对象房地状况!C22</f>
        <v>估价对象所在区域基础设施水平达到“七通”。</v>
      </c>
      <c r="C75" s="2766" t="s">
        <v>3190</v>
      </c>
      <c r="D75" s="1286">
        <f t="shared" si="20"/>
        <v>1.52E-2</v>
      </c>
      <c r="E75" s="823"/>
      <c r="F75" s="2499"/>
      <c r="G75" s="1284">
        <f t="shared" si="21"/>
        <v>7.6E-3</v>
      </c>
      <c r="H75" s="1288">
        <f t="shared" si="22"/>
        <v>7.6E-3</v>
      </c>
      <c r="I75" s="817">
        <v>0.12</v>
      </c>
      <c r="J75" s="1285">
        <f t="shared" si="23"/>
        <v>1.52E-2</v>
      </c>
      <c r="K75" s="1285">
        <f t="shared" si="24"/>
        <v>7.6E-3</v>
      </c>
      <c r="L75" s="1285">
        <v>0</v>
      </c>
      <c r="M75" s="1285">
        <f t="shared" si="25"/>
        <v>-7.6E-3</v>
      </c>
      <c r="N75" s="1285">
        <f t="shared" si="25"/>
        <v>-1.52E-2</v>
      </c>
      <c r="AA75" s="1371"/>
      <c r="AB75" s="1371"/>
      <c r="AC75" s="1371"/>
      <c r="AD75" s="1371"/>
      <c r="AE75" s="1371"/>
      <c r="AF75" s="1371"/>
      <c r="AG75" s="1371"/>
      <c r="AH75" s="1371"/>
      <c r="AI75" s="1371"/>
      <c r="AJ75" s="1371"/>
      <c r="AK75" s="1371"/>
    </row>
    <row r="76" spans="1:37" s="2715" customFormat="1" ht="24">
      <c r="A76" s="2874" t="s">
        <v>2950</v>
      </c>
      <c r="B76" s="2880" t="s">
        <v>2951</v>
      </c>
      <c r="C76" s="2766" t="s">
        <v>3189</v>
      </c>
      <c r="D76" s="1286">
        <f t="shared" si="20"/>
        <v>3.0999999999999999E-3</v>
      </c>
      <c r="E76" s="823"/>
      <c r="F76" s="2499"/>
      <c r="G76" s="1284">
        <f t="shared" si="21"/>
        <v>3.0999999999999999E-3</v>
      </c>
      <c r="H76" s="1288">
        <f t="shared" si="22"/>
        <v>3.0999999999999999E-3</v>
      </c>
      <c r="I76" s="817">
        <v>0.05</v>
      </c>
      <c r="J76" s="1285">
        <f t="shared" si="23"/>
        <v>6.1999999999999998E-3</v>
      </c>
      <c r="K76" s="1285">
        <f t="shared" si="24"/>
        <v>3.0999999999999999E-3</v>
      </c>
      <c r="L76" s="1285">
        <v>0</v>
      </c>
      <c r="M76" s="1285">
        <f t="shared" si="25"/>
        <v>-3.0999999999999999E-3</v>
      </c>
      <c r="N76" s="1285">
        <f t="shared" si="25"/>
        <v>-6.1999999999999998E-3</v>
      </c>
      <c r="AA76" s="2885"/>
      <c r="AB76" s="1371"/>
      <c r="AC76" s="1371"/>
      <c r="AD76" s="1371"/>
      <c r="AE76" s="1371"/>
      <c r="AF76" s="1371"/>
      <c r="AG76" s="1371"/>
      <c r="AH76" s="2885"/>
      <c r="AI76" s="2885"/>
      <c r="AJ76" s="2885"/>
      <c r="AK76" s="2885"/>
    </row>
    <row r="77" spans="1:37" ht="51">
      <c r="A77" s="2874" t="s">
        <v>2954</v>
      </c>
      <c r="B77" s="2877" t="str">
        <f>估价对象房地状况!C20</f>
        <v>区域自然环境：未来科技城滨河公园；人文环境：无展览馆、博物馆等；综合评价环境状况一般。</v>
      </c>
      <c r="C77" s="2766" t="s">
        <v>3192</v>
      </c>
      <c r="D77" s="1286">
        <f t="shared" si="20"/>
        <v>0</v>
      </c>
      <c r="E77" s="823"/>
      <c r="F77" s="2499"/>
      <c r="G77" s="1284">
        <f t="shared" si="21"/>
        <v>9.4999999999999998E-3</v>
      </c>
      <c r="H77" s="1288">
        <f t="shared" si="22"/>
        <v>9.4999999999999998E-3</v>
      </c>
      <c r="I77" s="817">
        <v>0.15</v>
      </c>
      <c r="J77" s="1285">
        <f t="shared" si="23"/>
        <v>1.9E-2</v>
      </c>
      <c r="K77" s="1285">
        <f t="shared" si="24"/>
        <v>9.4999999999999998E-3</v>
      </c>
      <c r="L77" s="1285">
        <v>0</v>
      </c>
      <c r="M77" s="1285">
        <f t="shared" si="25"/>
        <v>-9.4999999999999998E-3</v>
      </c>
      <c r="N77" s="1285">
        <f t="shared" si="25"/>
        <v>-1.9E-2</v>
      </c>
      <c r="Z77" s="2716"/>
      <c r="AA77" s="2792"/>
      <c r="AG77" s="1372"/>
      <c r="AK77" s="2792"/>
    </row>
    <row r="78" spans="1:37" ht="24.75" thickBot="1">
      <c r="A78" s="2882" t="s">
        <v>2961</v>
      </c>
      <c r="B78" s="2886"/>
      <c r="C78" s="2766" t="s">
        <v>3192</v>
      </c>
      <c r="D78" s="1286">
        <f t="shared" si="20"/>
        <v>0</v>
      </c>
      <c r="E78" s="824"/>
      <c r="F78" s="2499"/>
      <c r="G78" s="1284">
        <f t="shared" si="21"/>
        <v>2.5000000000000001E-3</v>
      </c>
      <c r="H78" s="1288">
        <f t="shared" si="22"/>
        <v>2.5000000000000001E-3</v>
      </c>
      <c r="I78" s="821">
        <v>0.04</v>
      </c>
      <c r="J78" s="1285">
        <f t="shared" si="23"/>
        <v>5.0000000000000001E-3</v>
      </c>
      <c r="K78" s="1285">
        <f t="shared" si="24"/>
        <v>2.5000000000000001E-3</v>
      </c>
      <c r="L78" s="1285">
        <v>0</v>
      </c>
      <c r="M78" s="1285">
        <f t="shared" si="25"/>
        <v>-2.5000000000000001E-3</v>
      </c>
      <c r="N78" s="1285">
        <f t="shared" si="25"/>
        <v>-5.0000000000000001E-3</v>
      </c>
      <c r="Z78" s="2716"/>
      <c r="AA78" s="2792"/>
      <c r="AG78" s="1372"/>
      <c r="AK78" s="2792"/>
    </row>
    <row r="79" spans="1:37" ht="15">
      <c r="A79" s="2870" t="s">
        <v>2962</v>
      </c>
      <c r="B79" s="2871">
        <f>1+E81</f>
        <v>1</v>
      </c>
      <c r="C79" s="811"/>
      <c r="D79" s="811"/>
      <c r="E79" s="812"/>
      <c r="F79" s="2873"/>
      <c r="G79" s="6"/>
      <c r="H79" s="6"/>
      <c r="I79" s="6"/>
      <c r="J79" s="7"/>
      <c r="K79" s="7"/>
      <c r="L79" s="7"/>
      <c r="M79" s="7"/>
      <c r="N79" s="7"/>
      <c r="Z79" s="2716"/>
      <c r="AA79" s="2792"/>
      <c r="AG79" s="1372"/>
      <c r="AK79" s="2792"/>
    </row>
    <row r="80" spans="1:37" ht="24.75">
      <c r="A80" s="2874" t="s">
        <v>2936</v>
      </c>
      <c r="B80" s="1809"/>
      <c r="C80" s="1809" t="s">
        <v>2938</v>
      </c>
      <c r="D80" s="1809" t="s">
        <v>2939</v>
      </c>
      <c r="E80" s="816" t="s">
        <v>2940</v>
      </c>
      <c r="F80" s="2875" t="s">
        <v>2956</v>
      </c>
      <c r="G80" s="1809" t="s">
        <v>754</v>
      </c>
      <c r="H80" s="2876" t="s">
        <v>2942</v>
      </c>
      <c r="I80" s="1809" t="s">
        <v>2943</v>
      </c>
      <c r="J80" s="603" t="s">
        <v>2592</v>
      </c>
      <c r="K80" s="603" t="s">
        <v>2593</v>
      </c>
      <c r="L80" s="603" t="s">
        <v>2594</v>
      </c>
      <c r="M80" s="603" t="s">
        <v>2595</v>
      </c>
      <c r="N80" s="603" t="s">
        <v>2596</v>
      </c>
      <c r="Z80" s="2716"/>
      <c r="AA80" s="2792"/>
      <c r="AG80" s="1372"/>
      <c r="AK80" s="2792"/>
    </row>
    <row r="81" spans="1:37" ht="38.25">
      <c r="A81" s="2874" t="s">
        <v>2963</v>
      </c>
      <c r="B81" s="2878" t="str">
        <f>估价对象房地状况!G15</f>
        <v>估价对象位于XX开发区，园区建设成熟度XX，产业集聚程度XX</v>
      </c>
      <c r="C81" s="2766"/>
      <c r="D81" s="1286">
        <f t="shared" ref="D81:D88" si="26">SUMIF($J$80:$N$80,C81,J81:N81)</f>
        <v>0</v>
      </c>
      <c r="E81" s="818">
        <f>ROUND(SUM(D81:D88),4)</f>
        <v>0</v>
      </c>
      <c r="F81" s="2499"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6"/>
      <c r="AA81" s="2792"/>
      <c r="AG81" s="1372"/>
      <c r="AK81" s="2792"/>
    </row>
    <row r="82" spans="1:37" ht="51">
      <c r="A82" s="2874" t="s">
        <v>2945</v>
      </c>
      <c r="B82" s="2878" t="str">
        <f>估价对象房地状况!G16</f>
        <v>估价对象周边道路状况、公共交通通达情况、停车便捷程度，综合评价交通便捷度较好</v>
      </c>
      <c r="C82" s="2766"/>
      <c r="D82" s="1286">
        <f t="shared" si="26"/>
        <v>0</v>
      </c>
      <c r="E82" s="823"/>
      <c r="F82" s="2499"/>
      <c r="G82" s="1284"/>
      <c r="H82" s="1288" t="str">
        <f t="shared" si="27"/>
        <v>——</v>
      </c>
      <c r="I82" s="817">
        <v>0.33</v>
      </c>
      <c r="J82" s="1285">
        <f t="shared" si="28"/>
        <v>0</v>
      </c>
      <c r="K82" s="1285">
        <f t="shared" si="29"/>
        <v>0</v>
      </c>
      <c r="L82" s="1285">
        <v>0</v>
      </c>
      <c r="M82" s="1285">
        <f t="shared" si="30"/>
        <v>0</v>
      </c>
      <c r="N82" s="1285">
        <f t="shared" si="30"/>
        <v>0</v>
      </c>
      <c r="Z82" s="2716"/>
      <c r="AA82" s="2792"/>
      <c r="AG82" s="1372"/>
      <c r="AK82" s="2792"/>
    </row>
    <row r="83" spans="1:37" ht="24">
      <c r="A83" s="2874" t="s">
        <v>2946</v>
      </c>
      <c r="B83" s="2878">
        <f>估价对象房地状况!G17</f>
        <v>0</v>
      </c>
      <c r="C83" s="2766"/>
      <c r="D83" s="1286">
        <f t="shared" si="26"/>
        <v>0</v>
      </c>
      <c r="E83" s="823"/>
      <c r="F83" s="2499"/>
      <c r="G83" s="1284"/>
      <c r="H83" s="1288" t="str">
        <f t="shared" si="27"/>
        <v>——</v>
      </c>
      <c r="I83" s="817">
        <v>0.05</v>
      </c>
      <c r="J83" s="1285">
        <f t="shared" si="28"/>
        <v>0</v>
      </c>
      <c r="K83" s="1285">
        <f t="shared" si="29"/>
        <v>0</v>
      </c>
      <c r="L83" s="1285">
        <v>0</v>
      </c>
      <c r="M83" s="1285">
        <f t="shared" si="30"/>
        <v>0</v>
      </c>
      <c r="N83" s="1285">
        <f t="shared" si="30"/>
        <v>0</v>
      </c>
      <c r="Z83" s="2716"/>
      <c r="AA83" s="2792"/>
      <c r="AG83" s="1372"/>
      <c r="AK83" s="2792"/>
    </row>
    <row r="84" spans="1:37" ht="14.25">
      <c r="A84" s="2874" t="s">
        <v>2960</v>
      </c>
      <c r="B84" s="2878">
        <f>估价对象房地状况!G22</f>
        <v>0</v>
      </c>
      <c r="C84" s="2766"/>
      <c r="D84" s="1286">
        <f t="shared" si="26"/>
        <v>0</v>
      </c>
      <c r="E84" s="823"/>
      <c r="F84" s="2499"/>
      <c r="G84" s="1284"/>
      <c r="H84" s="1288" t="str">
        <f t="shared" si="27"/>
        <v>——</v>
      </c>
      <c r="I84" s="817">
        <v>0.04</v>
      </c>
      <c r="J84" s="1285">
        <f t="shared" si="28"/>
        <v>0</v>
      </c>
      <c r="K84" s="1285">
        <f t="shared" si="29"/>
        <v>0</v>
      </c>
      <c r="L84" s="1285">
        <v>0</v>
      </c>
      <c r="M84" s="1285">
        <f t="shared" si="30"/>
        <v>0</v>
      </c>
      <c r="N84" s="1285">
        <f t="shared" si="30"/>
        <v>0</v>
      </c>
      <c r="Z84" s="2716"/>
      <c r="AA84" s="2792"/>
      <c r="AG84" s="1372"/>
      <c r="AK84" s="2792"/>
    </row>
    <row r="85" spans="1:37" ht="25.5">
      <c r="A85" s="2874" t="s">
        <v>2952</v>
      </c>
      <c r="B85" s="1725" t="str">
        <f>估价对象房地状况!G19</f>
        <v>估价对象所在区域公共配套设施齐备情况</v>
      </c>
      <c r="C85" s="2766"/>
      <c r="D85" s="1286">
        <f t="shared" si="26"/>
        <v>0</v>
      </c>
      <c r="E85" s="823"/>
      <c r="F85" s="2499"/>
      <c r="G85" s="1284"/>
      <c r="H85" s="1288" t="str">
        <f t="shared" si="27"/>
        <v>——</v>
      </c>
      <c r="I85" s="817">
        <v>0.06</v>
      </c>
      <c r="J85" s="1285">
        <f t="shared" si="28"/>
        <v>0</v>
      </c>
      <c r="K85" s="1285">
        <f t="shared" si="29"/>
        <v>0</v>
      </c>
      <c r="L85" s="1285">
        <v>0</v>
      </c>
      <c r="M85" s="1285">
        <f t="shared" si="30"/>
        <v>0</v>
      </c>
      <c r="N85" s="1285">
        <f t="shared" si="30"/>
        <v>0</v>
      </c>
      <c r="Z85" s="2716"/>
      <c r="AA85" s="2792"/>
      <c r="AG85" s="1372"/>
      <c r="AK85" s="2792"/>
    </row>
    <row r="86" spans="1:37" ht="25.5">
      <c r="A86" s="2874" t="s">
        <v>2953</v>
      </c>
      <c r="B86" s="1725" t="str">
        <f>估价对象房地状况!G20</f>
        <v>估价对象所在区域基础设施水平</v>
      </c>
      <c r="C86" s="2766"/>
      <c r="D86" s="1286">
        <f t="shared" si="26"/>
        <v>0</v>
      </c>
      <c r="E86" s="823"/>
      <c r="F86" s="2499"/>
      <c r="G86" s="1284"/>
      <c r="H86" s="1288" t="str">
        <f t="shared" si="27"/>
        <v>——</v>
      </c>
      <c r="I86" s="817">
        <v>0.15</v>
      </c>
      <c r="J86" s="1285">
        <f t="shared" si="28"/>
        <v>0</v>
      </c>
      <c r="K86" s="1285">
        <f t="shared" si="29"/>
        <v>0</v>
      </c>
      <c r="L86" s="1285">
        <v>0</v>
      </c>
      <c r="M86" s="1285">
        <f t="shared" si="30"/>
        <v>0</v>
      </c>
      <c r="N86" s="1285">
        <f t="shared" si="30"/>
        <v>0</v>
      </c>
      <c r="Z86" s="2716"/>
      <c r="AA86" s="2792"/>
      <c r="AG86" s="1372"/>
      <c r="AK86" s="2792"/>
    </row>
    <row r="87" spans="1:37" ht="24">
      <c r="A87" s="2874" t="s">
        <v>2950</v>
      </c>
      <c r="B87" s="2880" t="s">
        <v>2964</v>
      </c>
      <c r="C87" s="2766"/>
      <c r="D87" s="1286">
        <f t="shared" si="26"/>
        <v>0</v>
      </c>
      <c r="E87" s="823"/>
      <c r="F87" s="2499"/>
      <c r="G87" s="1284"/>
      <c r="H87" s="1288" t="str">
        <f t="shared" si="27"/>
        <v>——</v>
      </c>
      <c r="I87" s="817">
        <v>0.05</v>
      </c>
      <c r="J87" s="1285">
        <f t="shared" si="28"/>
        <v>0</v>
      </c>
      <c r="K87" s="1285">
        <f t="shared" si="29"/>
        <v>0</v>
      </c>
      <c r="L87" s="1285">
        <v>0</v>
      </c>
      <c r="M87" s="1285">
        <f t="shared" si="30"/>
        <v>0</v>
      </c>
      <c r="N87" s="1285">
        <f t="shared" si="30"/>
        <v>0</v>
      </c>
      <c r="Z87" s="2716"/>
      <c r="AA87" s="2792"/>
      <c r="AG87" s="1372"/>
      <c r="AK87" s="2792"/>
    </row>
    <row r="88" spans="1:37" ht="39" thickBot="1">
      <c r="A88" s="2882" t="s">
        <v>2965</v>
      </c>
      <c r="B88" s="2887" t="str">
        <f>估价对象房地状况!G18</f>
        <v>该园区内是否有污染型企业，绿化情况，卫生条件，整体环境状况判断</v>
      </c>
      <c r="C88" s="2766"/>
      <c r="D88" s="1286">
        <f t="shared" si="26"/>
        <v>0</v>
      </c>
      <c r="E88" s="824"/>
      <c r="F88" s="2499"/>
      <c r="G88" s="1284"/>
      <c r="H88" s="1288" t="str">
        <f t="shared" si="27"/>
        <v>——</v>
      </c>
      <c r="I88" s="821">
        <v>0.06</v>
      </c>
      <c r="J88" s="1285">
        <f t="shared" si="28"/>
        <v>0</v>
      </c>
      <c r="K88" s="1285">
        <f t="shared" si="29"/>
        <v>0</v>
      </c>
      <c r="L88" s="1285">
        <v>0</v>
      </c>
      <c r="M88" s="1285">
        <f t="shared" si="30"/>
        <v>0</v>
      </c>
      <c r="N88" s="1285">
        <f t="shared" si="30"/>
        <v>0</v>
      </c>
      <c r="Z88" s="2716"/>
      <c r="AA88" s="2792"/>
      <c r="AG88" s="1372"/>
      <c r="AK88" s="2792"/>
    </row>
    <row r="90" spans="1:37">
      <c r="A90" s="3358" t="s">
        <v>2966</v>
      </c>
      <c r="B90" s="3358"/>
      <c r="C90" s="3358"/>
      <c r="D90" s="3358"/>
      <c r="E90" s="3358"/>
      <c r="F90" s="3358"/>
      <c r="G90" s="3358"/>
      <c r="H90" s="3358"/>
      <c r="I90" s="3358"/>
      <c r="J90" s="3358"/>
      <c r="K90" s="2888"/>
      <c r="L90" s="2888"/>
      <c r="M90" s="2888"/>
      <c r="N90" s="2888"/>
    </row>
    <row r="91" spans="1:37">
      <c r="A91" s="3360" t="s">
        <v>2967</v>
      </c>
      <c r="B91" s="3360" t="s">
        <v>2968</v>
      </c>
      <c r="C91" s="2842" t="s">
        <v>2969</v>
      </c>
      <c r="D91" s="2843"/>
      <c r="E91" s="2843"/>
      <c r="F91" s="2843"/>
      <c r="G91" s="2843"/>
      <c r="H91" s="2843"/>
      <c r="I91" s="2843"/>
      <c r="J91" s="2889"/>
      <c r="K91" s="2890"/>
      <c r="L91" s="2890"/>
      <c r="M91" s="2890"/>
      <c r="N91" s="2890"/>
    </row>
    <row r="92" spans="1:37">
      <c r="A92" s="3360"/>
      <c r="B92" s="3360"/>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361" t="s">
        <v>2970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6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6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6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6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6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62"/>
      <c r="B99" s="2891" t="s">
        <v>2851</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36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61" t="s">
        <v>2971</v>
      </c>
      <c r="B101" s="2895" t="s">
        <v>2972</v>
      </c>
      <c r="C101" s="2896">
        <f>$G$3</f>
        <v>1.48</v>
      </c>
      <c r="D101" s="2896">
        <f t="shared" ref="D101:N101" si="32">$G$3</f>
        <v>1.48</v>
      </c>
      <c r="E101" s="2896">
        <f t="shared" si="32"/>
        <v>1.48</v>
      </c>
      <c r="F101" s="2896">
        <f t="shared" si="32"/>
        <v>1.48</v>
      </c>
      <c r="G101" s="2896">
        <f t="shared" si="32"/>
        <v>1.48</v>
      </c>
      <c r="H101" s="2896">
        <f t="shared" si="32"/>
        <v>1.48</v>
      </c>
      <c r="I101" s="2896">
        <f t="shared" si="32"/>
        <v>1.48</v>
      </c>
      <c r="J101" s="2896">
        <f t="shared" si="32"/>
        <v>1.48</v>
      </c>
      <c r="K101" s="2896">
        <f t="shared" si="32"/>
        <v>1.48</v>
      </c>
      <c r="L101" s="2896">
        <f t="shared" si="32"/>
        <v>1.48</v>
      </c>
      <c r="M101" s="2896">
        <f t="shared" si="32"/>
        <v>1.48</v>
      </c>
      <c r="N101" s="2896">
        <f t="shared" si="32"/>
        <v>1.48</v>
      </c>
    </row>
    <row r="102" spans="1:14">
      <c r="A102" s="3362"/>
      <c r="B102" s="2891">
        <v>1</v>
      </c>
      <c r="C102" s="2892">
        <f>1.9362/C101</f>
        <v>1.3082432432432431</v>
      </c>
      <c r="D102" s="2892">
        <f>1.9362/D101</f>
        <v>1.3082432432432431</v>
      </c>
      <c r="E102" s="2892">
        <f>1.8629/E101</f>
        <v>1.2587162162162162</v>
      </c>
      <c r="F102" s="2892">
        <f>1.8629/F101</f>
        <v>1.2587162162162162</v>
      </c>
      <c r="G102" s="2892">
        <f>1.8629/G101</f>
        <v>1.2587162162162162</v>
      </c>
      <c r="H102" s="2892">
        <f>1.8629/H101</f>
        <v>1.2587162162162162</v>
      </c>
      <c r="I102" s="2892">
        <f>1.8629/I101</f>
        <v>1.2587162162162162</v>
      </c>
      <c r="J102" s="2892">
        <f>1.942/J101</f>
        <v>1.3121621621621622</v>
      </c>
      <c r="K102" s="2892">
        <f>1.942/K101</f>
        <v>1.3121621621621622</v>
      </c>
      <c r="L102" s="2892">
        <f>1.942/L101</f>
        <v>1.3121621621621622</v>
      </c>
      <c r="M102" s="2892">
        <f>1.942/M101</f>
        <v>1.3121621621621622</v>
      </c>
      <c r="N102" s="2892">
        <f>1.942/N101</f>
        <v>1.3121621621621622</v>
      </c>
    </row>
    <row r="103" spans="1:14">
      <c r="A103" s="3362"/>
      <c r="B103" s="2891">
        <v>2</v>
      </c>
      <c r="C103" s="2892">
        <f>1.4198/C101</f>
        <v>0.95932432432432435</v>
      </c>
      <c r="D103" s="2892">
        <f>1.4198/D101</f>
        <v>0.95932432432432435</v>
      </c>
      <c r="E103" s="2892">
        <f>1.3372/E101</f>
        <v>0.9035135135135135</v>
      </c>
      <c r="F103" s="2892">
        <f>1.3372/F101</f>
        <v>0.9035135135135135</v>
      </c>
      <c r="G103" s="2892">
        <f>1.3372/G101</f>
        <v>0.9035135135135135</v>
      </c>
      <c r="H103" s="2892">
        <f>1.3372/H101</f>
        <v>0.9035135135135135</v>
      </c>
      <c r="I103" s="2892">
        <f>1.3372/I101</f>
        <v>0.9035135135135135</v>
      </c>
      <c r="J103" s="2892">
        <f>1.2799/J101</f>
        <v>0.86479729729729737</v>
      </c>
      <c r="K103" s="2892">
        <f>1.2799/K101</f>
        <v>0.86479729729729737</v>
      </c>
      <c r="L103" s="2892">
        <f>1.2799/L101</f>
        <v>0.86479729729729737</v>
      </c>
      <c r="M103" s="2892">
        <f>1.2799/M101</f>
        <v>0.86479729729729737</v>
      </c>
      <c r="N103" s="2892">
        <f>1.2799/N101</f>
        <v>0.86479729729729737</v>
      </c>
    </row>
    <row r="104" spans="1:14">
      <c r="A104" s="3362"/>
      <c r="B104" s="2891">
        <v>3</v>
      </c>
      <c r="C104" s="2892">
        <f>1.1594/C101</f>
        <v>0.78337837837837843</v>
      </c>
      <c r="D104" s="2892">
        <f>1.1594/D101</f>
        <v>0.78337837837837843</v>
      </c>
      <c r="E104" s="2892">
        <f>1.0788/E101</f>
        <v>0.72891891891891891</v>
      </c>
      <c r="F104" s="2892">
        <f>1.0788/F101</f>
        <v>0.72891891891891891</v>
      </c>
      <c r="G104" s="2892">
        <f>1.0788/G101</f>
        <v>0.72891891891891891</v>
      </c>
      <c r="H104" s="2892">
        <f>1.0788/H101</f>
        <v>0.72891891891891891</v>
      </c>
      <c r="I104" s="2892">
        <f>1.0788/I101</f>
        <v>0.72891891891891891</v>
      </c>
      <c r="J104" s="2892">
        <f>1.0072/J101</f>
        <v>0.68054054054054058</v>
      </c>
      <c r="K104" s="2892">
        <f>1.0072/K101</f>
        <v>0.68054054054054058</v>
      </c>
      <c r="L104" s="2892">
        <f>1.0072/L101</f>
        <v>0.68054054054054058</v>
      </c>
      <c r="M104" s="2892">
        <f>1.0072/M101</f>
        <v>0.68054054054054058</v>
      </c>
      <c r="N104" s="2892">
        <f>1.0072/N101</f>
        <v>0.68054054054054058</v>
      </c>
    </row>
    <row r="105" spans="1:14">
      <c r="A105" s="3362"/>
      <c r="B105" s="2891">
        <v>4</v>
      </c>
      <c r="C105" s="2892">
        <f>0.9622/C101</f>
        <v>0.65013513513513521</v>
      </c>
      <c r="D105" s="2892">
        <f>0.9622/D101</f>
        <v>0.65013513513513521</v>
      </c>
      <c r="E105" s="2892">
        <f>0.8656/E101</f>
        <v>0.58486486486486489</v>
      </c>
      <c r="F105" s="2892">
        <f>0.8656/F101</f>
        <v>0.58486486486486489</v>
      </c>
      <c r="G105" s="2892">
        <f>0.8656/G101</f>
        <v>0.58486486486486489</v>
      </c>
      <c r="H105" s="2892">
        <f>0.8656/H101</f>
        <v>0.58486486486486489</v>
      </c>
      <c r="I105" s="2892">
        <f>0.8656/I101</f>
        <v>0.58486486486486489</v>
      </c>
      <c r="J105" s="2892">
        <f>0.7525/J101</f>
        <v>0.50844594594594594</v>
      </c>
      <c r="K105" s="2892">
        <f>0.7525/K101</f>
        <v>0.50844594594594594</v>
      </c>
      <c r="L105" s="2892">
        <f>0.7525/L101</f>
        <v>0.50844594594594594</v>
      </c>
      <c r="M105" s="2892">
        <f>0.7525/M101</f>
        <v>0.50844594594594594</v>
      </c>
      <c r="N105" s="2892">
        <f>0.7525/N101</f>
        <v>0.50844594594594594</v>
      </c>
    </row>
    <row r="106" spans="1:14">
      <c r="A106" s="3362"/>
      <c r="B106" s="2891">
        <v>5</v>
      </c>
      <c r="C106" s="2892">
        <f>0.8417/C101</f>
        <v>0.56871621621621626</v>
      </c>
      <c r="D106" s="2892">
        <f>0.8417/D101</f>
        <v>0.56871621621621626</v>
      </c>
      <c r="E106" s="2892">
        <f>0.7371/E101</f>
        <v>0.49804054054054053</v>
      </c>
      <c r="F106" s="2892">
        <f>0.7371/F101</f>
        <v>0.49804054054054053</v>
      </c>
      <c r="G106" s="2892">
        <f>0.7371/G101</f>
        <v>0.49804054054054053</v>
      </c>
      <c r="H106" s="2892">
        <f>0.7371/H101</f>
        <v>0.49804054054054053</v>
      </c>
      <c r="I106" s="2892">
        <f>0.7371/I101</f>
        <v>0.49804054054054053</v>
      </c>
      <c r="J106" s="2892">
        <f>0.5659/J101</f>
        <v>0.38236486486486482</v>
      </c>
      <c r="K106" s="2892">
        <f>0.5659/K101</f>
        <v>0.38236486486486482</v>
      </c>
      <c r="L106" s="2892">
        <f>0.5659/L101</f>
        <v>0.38236486486486482</v>
      </c>
      <c r="M106" s="2892">
        <f>0.5659/M101</f>
        <v>0.38236486486486482</v>
      </c>
      <c r="N106" s="2892">
        <f>0.5659/N101</f>
        <v>0.38236486486486482</v>
      </c>
    </row>
    <row r="107" spans="1:14">
      <c r="A107" s="3362"/>
      <c r="B107" s="2891">
        <v>6</v>
      </c>
      <c r="C107" s="2892">
        <f>0.7608/C101</f>
        <v>0.51405405405405413</v>
      </c>
      <c r="D107" s="2892">
        <f>0.7608/D101</f>
        <v>0.51405405405405413</v>
      </c>
      <c r="E107" s="2892">
        <f>0.6482/E101</f>
        <v>0.437972972972973</v>
      </c>
      <c r="F107" s="2892">
        <f>0.6482/F101</f>
        <v>0.437972972972973</v>
      </c>
      <c r="G107" s="2892">
        <f>0.6482/G101</f>
        <v>0.437972972972973</v>
      </c>
      <c r="H107" s="2892">
        <f>0.6482/H101</f>
        <v>0.437972972972973</v>
      </c>
      <c r="I107" s="2892">
        <f>0.6482/I101</f>
        <v>0.437972972972973</v>
      </c>
      <c r="J107" s="2892">
        <f>0.4525/J101</f>
        <v>0.30574324324324326</v>
      </c>
      <c r="K107" s="2892">
        <f>0.4525/K101</f>
        <v>0.30574324324324326</v>
      </c>
      <c r="L107" s="2892">
        <f>0.4525/L101</f>
        <v>0.30574324324324326</v>
      </c>
      <c r="M107" s="2892">
        <f>0.4525/M101</f>
        <v>0.30574324324324326</v>
      </c>
      <c r="N107" s="2892">
        <f>0.4525/N101</f>
        <v>0.30574324324324326</v>
      </c>
    </row>
    <row r="108" spans="1:14">
      <c r="A108" s="3362"/>
      <c r="B108" s="3244" t="s">
        <v>2973</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363"/>
      <c r="B109" s="3245"/>
      <c r="C109" s="2894">
        <f>(-0.163*(C108^2)-0.59*C108+7617)*(10^(-4))/C101</f>
        <v>0.51466216216216221</v>
      </c>
      <c r="D109" s="2894">
        <f>(-0.163*(D108^2)-0.59*D108+7617)*(10^(-4))/D101</f>
        <v>0.51466216216216221</v>
      </c>
      <c r="E109" s="2894">
        <f>(-0.161*(E108^2)-7.509*E108+6533)*(10^(-4))/E101</f>
        <v>0.44141891891891893</v>
      </c>
      <c r="F109" s="2894">
        <f>(-0.161*(F108^2)-7.509*F108+6533)*(10^(-4))/F101</f>
        <v>0.44141891891891893</v>
      </c>
      <c r="G109" s="2894">
        <f>(-0.161*(G108^2)-7.509*G108+6533)*(10^(-4))/G101</f>
        <v>0.44141891891891893</v>
      </c>
      <c r="H109" s="2894">
        <f>(-0.161*(H108^2)-7.509*H108+6533)*(10^(-4))/H101</f>
        <v>0.44141891891891893</v>
      </c>
      <c r="I109" s="2894">
        <f>(-0.161*(I108^2)-7.509*I108+6533)*(10^(-4))/I101</f>
        <v>0.44141891891891893</v>
      </c>
      <c r="J109" s="2894">
        <f>(-0.214*(J108^2)-21.991*J108+4665)*(10^(-4))/J101</f>
        <v>0.31520270270270273</v>
      </c>
      <c r="K109" s="2894">
        <f>(-0.214*(K108^2)-21.991*K108+4665)*(10^(-4))/K101</f>
        <v>0.31520270270270273</v>
      </c>
      <c r="L109" s="2894">
        <f>(-0.214*(L108^2)-21.991*L108+4665)*(10^(-4))/L101</f>
        <v>0.31520270270270273</v>
      </c>
      <c r="M109" s="2894">
        <f>(-0.214*(M108^2)-21.991*M108+4665)*(10^(-4))/M101</f>
        <v>0.31520270270270273</v>
      </c>
      <c r="N109" s="2894">
        <f>(-0.214*(N108^2)-21.991*N108+4665)*(10^(-4))/N101</f>
        <v>0.31520270270270273</v>
      </c>
    </row>
    <row r="110" spans="1:14">
      <c r="A110" s="3359" t="s">
        <v>2974</v>
      </c>
      <c r="B110" s="3359"/>
      <c r="C110" s="3359"/>
      <c r="D110" s="3359"/>
      <c r="E110" s="3359"/>
      <c r="F110" s="3359"/>
      <c r="G110" s="3359"/>
      <c r="H110" s="3359"/>
      <c r="I110" s="3359"/>
      <c r="J110" s="3359"/>
      <c r="K110" s="2897"/>
      <c r="L110" s="2897"/>
      <c r="M110" s="2897"/>
      <c r="N110" s="2897"/>
    </row>
    <row r="112" spans="1:14" ht="13.5" thickBot="1"/>
    <row r="113" spans="1:13" ht="25.5" thickBot="1">
      <c r="A113" s="900" t="s">
        <v>2975</v>
      </c>
      <c r="B113" s="1287">
        <f>G3</f>
        <v>1.48</v>
      </c>
      <c r="C113" s="901" t="s">
        <v>2976</v>
      </c>
      <c r="D113" s="902">
        <f>SUMPRODUCT((A115:A118=F113)*(B114:M114=H113)*B115:M118)</f>
        <v>0.86299999999999999</v>
      </c>
      <c r="E113" s="2720" t="s">
        <v>2808</v>
      </c>
      <c r="F113" s="2899" t="str">
        <f>E2</f>
        <v>住宅</v>
      </c>
      <c r="G113" s="2720" t="s">
        <v>2809</v>
      </c>
      <c r="H113" s="2899" t="str">
        <f>G2</f>
        <v>七级</v>
      </c>
      <c r="I113" s="2720"/>
      <c r="J113" s="2900"/>
      <c r="K113" s="2900"/>
      <c r="L113" s="2900"/>
      <c r="M113" s="2900"/>
    </row>
    <row r="114" spans="1:13">
      <c r="A114" s="905"/>
      <c r="B114" s="2901" t="s">
        <v>2977</v>
      </c>
      <c r="C114" s="2901" t="s">
        <v>2978</v>
      </c>
      <c r="D114" s="2901" t="s">
        <v>2979</v>
      </c>
      <c r="E114" s="2902" t="s">
        <v>2980</v>
      </c>
      <c r="F114" s="2902" t="s">
        <v>2981</v>
      </c>
      <c r="G114" s="2902" t="s">
        <v>2982</v>
      </c>
      <c r="H114" s="2903" t="s">
        <v>2983</v>
      </c>
      <c r="I114" s="2903" t="s">
        <v>2984</v>
      </c>
      <c r="J114" s="2904" t="s">
        <v>2985</v>
      </c>
      <c r="K114" s="2904" t="s">
        <v>2986</v>
      </c>
      <c r="L114" s="2904" t="s">
        <v>2987</v>
      </c>
      <c r="M114" s="2905" t="s">
        <v>2988</v>
      </c>
    </row>
    <row r="115" spans="1:13">
      <c r="A115" s="906" t="s">
        <v>2873</v>
      </c>
      <c r="B115" s="907">
        <f>ROUND(0.9335-0.0094*B113,4)</f>
        <v>0.91959999999999997</v>
      </c>
      <c r="C115" s="907">
        <f>B115</f>
        <v>0.91959999999999997</v>
      </c>
      <c r="D115" s="907">
        <f>ROUND(0.8331-0.0109*B113,4)</f>
        <v>0.81699999999999995</v>
      </c>
      <c r="E115" s="907">
        <f>D115</f>
        <v>0.81699999999999995</v>
      </c>
      <c r="F115" s="907">
        <f>E115</f>
        <v>0.81699999999999995</v>
      </c>
      <c r="G115" s="907">
        <f>F115</f>
        <v>0.81699999999999995</v>
      </c>
      <c r="H115" s="907">
        <f>G115</f>
        <v>0.81699999999999995</v>
      </c>
      <c r="I115" s="907">
        <f>ROUND(0.689-0.0155*B113,4)</f>
        <v>0.66610000000000003</v>
      </c>
      <c r="J115" s="907">
        <f t="shared" ref="J115:M118" si="34">I115</f>
        <v>0.66610000000000003</v>
      </c>
      <c r="K115" s="907">
        <f t="shared" si="34"/>
        <v>0.66610000000000003</v>
      </c>
      <c r="L115" s="907">
        <f t="shared" si="34"/>
        <v>0.66610000000000003</v>
      </c>
      <c r="M115" s="908">
        <f t="shared" si="34"/>
        <v>0.66610000000000003</v>
      </c>
    </row>
    <row r="116" spans="1:13">
      <c r="A116" s="906" t="s">
        <v>2874</v>
      </c>
      <c r="B116" s="907">
        <f>ROUND(0.949-0.012*B113,4)</f>
        <v>0.93120000000000003</v>
      </c>
      <c r="C116" s="907">
        <f>B116</f>
        <v>0.93120000000000003</v>
      </c>
      <c r="D116" s="907">
        <f>ROUND(0.8567-0.013*B113,4)</f>
        <v>0.83750000000000002</v>
      </c>
      <c r="E116" s="907">
        <f t="shared" ref="E116:H117" si="35">D116</f>
        <v>0.83750000000000002</v>
      </c>
      <c r="F116" s="907">
        <f t="shared" si="35"/>
        <v>0.83750000000000002</v>
      </c>
      <c r="G116" s="907">
        <f t="shared" si="35"/>
        <v>0.83750000000000002</v>
      </c>
      <c r="H116" s="907">
        <f t="shared" si="35"/>
        <v>0.83750000000000002</v>
      </c>
      <c r="I116" s="907">
        <f>ROUND(0.7694-0.014*B113,4)</f>
        <v>0.74870000000000003</v>
      </c>
      <c r="J116" s="907">
        <f t="shared" si="34"/>
        <v>0.74870000000000003</v>
      </c>
      <c r="K116" s="907">
        <f t="shared" si="34"/>
        <v>0.74870000000000003</v>
      </c>
      <c r="L116" s="907">
        <f t="shared" si="34"/>
        <v>0.74870000000000003</v>
      </c>
      <c r="M116" s="908">
        <f t="shared" si="34"/>
        <v>0.74870000000000003</v>
      </c>
    </row>
    <row r="117" spans="1:13">
      <c r="A117" s="906" t="s">
        <v>2875</v>
      </c>
      <c r="B117" s="907">
        <f>ROUND(0.8808-0.006*B113,4)</f>
        <v>0.87190000000000001</v>
      </c>
      <c r="C117" s="907">
        <f>B117</f>
        <v>0.87190000000000001</v>
      </c>
      <c r="D117" s="907">
        <f>ROUND(0.8748-0.008*B113,4)</f>
        <v>0.86299999999999999</v>
      </c>
      <c r="E117" s="907">
        <f t="shared" si="35"/>
        <v>0.86299999999999999</v>
      </c>
      <c r="F117" s="907">
        <f t="shared" si="35"/>
        <v>0.86299999999999999</v>
      </c>
      <c r="G117" s="907">
        <f t="shared" si="35"/>
        <v>0.86299999999999999</v>
      </c>
      <c r="H117" s="907">
        <f t="shared" si="35"/>
        <v>0.86299999999999999</v>
      </c>
      <c r="I117" s="907">
        <f>ROUND(0.7412-0.0095*B113,4)</f>
        <v>0.72709999999999997</v>
      </c>
      <c r="J117" s="907">
        <f t="shared" si="34"/>
        <v>0.72709999999999997</v>
      </c>
      <c r="K117" s="907">
        <f t="shared" si="34"/>
        <v>0.72709999999999997</v>
      </c>
      <c r="L117" s="907">
        <f t="shared" si="34"/>
        <v>0.72709999999999997</v>
      </c>
      <c r="M117" s="908">
        <f t="shared" si="34"/>
        <v>0.72709999999999997</v>
      </c>
    </row>
    <row r="118" spans="1:13" ht="13.5" thickBot="1">
      <c r="A118" s="714" t="s">
        <v>2876</v>
      </c>
      <c r="B118" s="909">
        <f>ROUND(0.7275-0.01*B113,4)</f>
        <v>0.7127</v>
      </c>
      <c r="C118" s="909">
        <f>B118</f>
        <v>0.7127</v>
      </c>
      <c r="D118" s="909">
        <f>ROUND(0.7043-0.012*B113,4)</f>
        <v>0.6865</v>
      </c>
      <c r="E118" s="909">
        <f>D118</f>
        <v>0.6865</v>
      </c>
      <c r="F118" s="909">
        <f>E118</f>
        <v>0.6865</v>
      </c>
      <c r="G118" s="909">
        <f>ROUND(0.6299-0.0122*B113,4)</f>
        <v>0.61180000000000001</v>
      </c>
      <c r="H118" s="909">
        <f>G118</f>
        <v>0.61180000000000001</v>
      </c>
      <c r="I118" s="909">
        <f>ROUND(0.5667-0.0136*B113,4)</f>
        <v>0.54659999999999997</v>
      </c>
      <c r="J118" s="909">
        <f t="shared" si="34"/>
        <v>0.54659999999999997</v>
      </c>
      <c r="K118" s="909">
        <f t="shared" si="34"/>
        <v>0.54659999999999997</v>
      </c>
      <c r="L118" s="909">
        <f t="shared" si="34"/>
        <v>0.54659999999999997</v>
      </c>
      <c r="M118" s="910">
        <f t="shared" si="34"/>
        <v>0.54659999999999997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27" sqref="O2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1" t="s">
        <v>1150</v>
      </c>
      <c r="C1" s="3381"/>
      <c r="D1" s="3381"/>
      <c r="E1" s="3381"/>
      <c r="F1" s="3381"/>
      <c r="G1" s="3377" t="s">
        <v>1151</v>
      </c>
      <c r="H1" s="3377"/>
      <c r="I1" s="3377"/>
      <c r="J1" s="3377"/>
      <c r="K1" s="3377"/>
      <c r="L1" s="3377"/>
      <c r="N1" s="3377" t="s">
        <v>1152</v>
      </c>
      <c r="O1" s="3377"/>
      <c r="P1" s="3377"/>
      <c r="Q1" s="3377"/>
      <c r="R1" s="1446"/>
      <c r="S1" s="3377" t="s">
        <v>1153</v>
      </c>
      <c r="T1" s="3377"/>
      <c r="U1" s="3377"/>
      <c r="V1" s="3377"/>
      <c r="X1" s="3376" t="s">
        <v>1154</v>
      </c>
      <c r="Y1" s="3377"/>
      <c r="Z1" s="3377"/>
      <c r="AA1" s="3377"/>
      <c r="AB1" s="3377"/>
      <c r="AD1" s="3376" t="s">
        <v>1155</v>
      </c>
      <c r="AE1" s="3377"/>
      <c r="AF1" s="3377"/>
      <c r="AG1" s="3377"/>
      <c r="AH1" s="337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6" customFormat="1" ht="14.25">
      <c r="A3" s="2945" t="s">
        <v>3036</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3035</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2">
        <v>2018</v>
      </c>
      <c r="H5" s="1730">
        <v>1</v>
      </c>
      <c r="I5" s="2920">
        <v>0</v>
      </c>
      <c r="J5" s="2920">
        <v>0</v>
      </c>
      <c r="K5" s="2920">
        <v>0</v>
      </c>
      <c r="L5" s="2920">
        <v>0</v>
      </c>
      <c r="N5" s="1467">
        <f t="shared" ref="N5:N10" si="7">I5/100</f>
        <v>0</v>
      </c>
      <c r="O5" s="1467">
        <f t="shared" ref="O5" si="8">J5/100</f>
        <v>0</v>
      </c>
      <c r="P5" s="1467">
        <f t="shared" ref="P5" si="9">K5/100</f>
        <v>0</v>
      </c>
      <c r="Q5" s="1467">
        <f t="shared" ref="Q5" si="10">L5/100</f>
        <v>0</v>
      </c>
      <c r="R5" s="1732"/>
      <c r="S5" s="1733"/>
      <c r="T5" s="1732"/>
      <c r="U5" s="1732"/>
      <c r="V5" s="1732"/>
      <c r="W5" s="2935" t="s">
        <v>3037</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3032</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2">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3033</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8"/>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7"/>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8"/>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382">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79"/>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79"/>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80"/>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78">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79"/>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79"/>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80"/>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78">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79"/>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79"/>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80"/>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1163</v>
      </c>
      <c r="B22" s="1469">
        <v>299</v>
      </c>
      <c r="C22" s="1469">
        <v>252</v>
      </c>
      <c r="D22" s="1469">
        <f t="shared" si="35"/>
        <v>252</v>
      </c>
      <c r="E22" s="1469">
        <v>409</v>
      </c>
      <c r="F22" s="1470">
        <v>227</v>
      </c>
      <c r="G22" s="3383">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84"/>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84"/>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85"/>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78">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79"/>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79"/>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80"/>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78">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79">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79">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80">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78">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79">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79">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80">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78">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79">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79">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80">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78">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79">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79">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80">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78">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79">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79">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80">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78">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79">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79">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80">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78">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79">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79">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80">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78">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79">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79">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80">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78">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79">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79">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80">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78">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79">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79">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80">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12</v>
      </c>
    </row>
    <row r="2" spans="1:33" ht="18" customHeight="1">
      <c r="A2" s="245" t="s">
        <v>2325</v>
      </c>
      <c r="B2" s="248">
        <f ca="1">C32</f>
        <v>302874</v>
      </c>
      <c r="C2" s="320" t="s">
        <v>2458</v>
      </c>
      <c r="D2" s="320"/>
      <c r="E2" s="320"/>
      <c r="F2" s="320"/>
      <c r="G2" s="320"/>
      <c r="H2" s="320"/>
      <c r="I2" s="320"/>
      <c r="J2" s="320"/>
      <c r="K2" s="320"/>
    </row>
    <row r="3" spans="1:33" ht="18" customHeight="1" thickBot="1">
      <c r="A3" s="247" t="s">
        <v>2327</v>
      </c>
      <c r="B3" s="248">
        <f ca="1">ROUND(B2*10000/IF(C1="",'数据-汇总表'!E3,INDIRECT("'数据-取费表'!K"&amp;$K$1)),0)</f>
        <v>25810</v>
      </c>
      <c r="C3" s="320" t="s">
        <v>2459</v>
      </c>
      <c r="D3" s="320"/>
      <c r="E3" s="320"/>
      <c r="F3" s="320"/>
      <c r="G3" s="320"/>
      <c r="H3" s="320"/>
      <c r="I3" s="320"/>
      <c r="J3" s="320"/>
      <c r="K3" s="320"/>
    </row>
    <row r="4" spans="1:33" s="956" customFormat="1" ht="16.5" customHeight="1">
      <c r="A4" s="953" t="s">
        <v>2460</v>
      </c>
      <c r="B4" s="954"/>
      <c r="C4" s="996">
        <f ca="1">SUM(C8:K8)</f>
        <v>386647.45199999993</v>
      </c>
      <c r="D4" s="954"/>
      <c r="E4" s="954"/>
      <c r="F4" s="954"/>
      <c r="G4" s="954"/>
      <c r="H4" s="954"/>
      <c r="I4" s="954"/>
      <c r="J4" s="954"/>
      <c r="K4" s="955"/>
    </row>
    <row r="5" spans="1:33" s="960" customFormat="1" ht="15">
      <c r="A5" s="957" t="s">
        <v>2461</v>
      </c>
      <c r="B5" s="958" t="s">
        <v>2462</v>
      </c>
      <c r="C5" s="2552" t="s">
        <v>3158</v>
      </c>
      <c r="D5" s="2552" t="s">
        <v>3160</v>
      </c>
      <c r="E5" s="2552" t="s">
        <v>3162</v>
      </c>
      <c r="F5" s="2552" t="s">
        <v>48</v>
      </c>
      <c r="G5" s="2552" t="s">
        <v>3360</v>
      </c>
      <c r="H5" s="2552" t="s">
        <v>3393</v>
      </c>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f>'比较法-住宅'!B3</f>
        <v>68676</v>
      </c>
      <c r="D6" s="962">
        <v>12000</v>
      </c>
      <c r="E6" s="962">
        <f ca="1">'收益法（地下仓储）'!B3</f>
        <v>8652</v>
      </c>
      <c r="F6" s="962">
        <f ca="1">'收益法（地下车库）'!B3</f>
        <v>9491</v>
      </c>
      <c r="G6" s="962">
        <f ca="1">收益法叠拼车位!B3</f>
        <v>15398</v>
      </c>
      <c r="H6" s="962">
        <f ca="1">'收益法（商品房仓储）'!B3</f>
        <v>19774</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40115.94</v>
      </c>
      <c r="D7" s="321">
        <f>SUMIF('数据-汇总表'!$C19:$C33,假设开发法!D5,'数据-汇总表'!$E19:$E33)</f>
        <v>11201.209999999926</v>
      </c>
      <c r="E7" s="321">
        <f>SUMIF('数据-汇总表'!$C19:$C33,假设开发法!E5,'数据-汇总表'!$E19:$E33)</f>
        <v>7758.13</v>
      </c>
      <c r="F7" s="321">
        <f>SUMIF('数据-汇总表'!$C19:$C33,假设开发法!F5,'数据-汇总表'!$E19:$E33)</f>
        <v>10208.15</v>
      </c>
      <c r="G7" s="321">
        <f>SUMIF('数据-汇总表'!$C19:$C33,假设开发法!G5,'数据-汇总表'!$E19:$E33)</f>
        <v>14993.36</v>
      </c>
      <c r="H7" s="321">
        <f>SUMIF('数据-汇总表'!$C19:$C33,假设开发法!H5,'数据-汇总表'!$E19:$E33)</f>
        <v>29441.34</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2466</v>
      </c>
      <c r="B8" s="177" t="s">
        <v>2467</v>
      </c>
      <c r="C8" s="997">
        <f>'比较法-住宅'!B2</f>
        <v>275500</v>
      </c>
      <c r="D8" s="997">
        <f>D6*D7/10000</f>
        <v>13441.45199999991</v>
      </c>
      <c r="E8" s="997">
        <f ca="1">'收益法（地下仓储）'!B2</f>
        <v>6712</v>
      </c>
      <c r="F8" s="998">
        <f ca="1">'收益法（地下车库）'!B2</f>
        <v>9689</v>
      </c>
      <c r="G8" s="998">
        <f ca="1">收益法叠拼车位!B2</f>
        <v>23087</v>
      </c>
      <c r="H8" s="998">
        <f ca="1">'收益法（商品房仓储）'!B2</f>
        <v>58218</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1334</v>
      </c>
      <c r="B11" s="972" t="s">
        <v>2475</v>
      </c>
      <c r="C11" s="323">
        <f ca="1">IF(C1="",'数据-取费表'!P16,INDIRECT("'数据-取费表'!p"&amp;$K$1)+INDIRECT("'数据-取费表'!ar"&amp;$K$1))</f>
        <v>9905</v>
      </c>
      <c r="D11" s="973"/>
      <c r="E11" s="375"/>
      <c r="F11" s="974">
        <f ca="1">1-IF('数据-取费表'!B24=0,1,IF(C1="",'数据-取费表'!N16,INDIRECT("'数据-取费表'!n"&amp;$K$1)))</f>
        <v>0.36199999999999999</v>
      </c>
      <c r="G11" s="8"/>
      <c r="H11" s="968"/>
      <c r="I11" s="968"/>
      <c r="J11" s="968"/>
      <c r="K11" s="969"/>
    </row>
    <row r="12" spans="1:33" s="975" customFormat="1" ht="13.5" customHeight="1">
      <c r="A12" s="971" t="s">
        <v>1335</v>
      </c>
      <c r="B12" s="972" t="s">
        <v>2476</v>
      </c>
      <c r="C12" s="24">
        <f ca="1">ROUND(C11*F12,0)</f>
        <v>297</v>
      </c>
      <c r="D12" s="973"/>
      <c r="E12" s="375"/>
      <c r="F12" s="976">
        <f>'数据-取费表'!B33</f>
        <v>0.03</v>
      </c>
      <c r="G12" s="8" t="s">
        <v>2477</v>
      </c>
      <c r="H12" s="968"/>
      <c r="I12" s="968"/>
      <c r="J12" s="968"/>
      <c r="K12" s="969"/>
    </row>
    <row r="13" spans="1:33" s="975" customFormat="1" ht="13.5" customHeight="1">
      <c r="A13" s="971" t="s">
        <v>1336</v>
      </c>
      <c r="B13" s="972" t="s">
        <v>2478</v>
      </c>
      <c r="C13" s="24">
        <f ca="1">ROUND(IF(C1="",SUMIF('数据-取费表'!C:C,"住宅",'数据-取费表'!P:P)*F13,IF(INDIRECT("'数据-取费表'!c"&amp;$K$1)="住宅",INDIRECT("'数据-取费表'!P"&amp;$K$1)*F13,0)),0)</f>
        <v>473</v>
      </c>
      <c r="D13" s="1033"/>
      <c r="E13" s="375"/>
      <c r="F13" s="976">
        <f>'数据-取费表'!B34</f>
        <v>0.08</v>
      </c>
      <c r="G13" s="8" t="s">
        <v>2479</v>
      </c>
      <c r="H13" s="968"/>
      <c r="I13" s="968"/>
      <c r="J13" s="968"/>
      <c r="K13" s="969"/>
    </row>
    <row r="14" spans="1:33" s="977" customFormat="1" ht="13.5" customHeight="1">
      <c r="A14" s="971" t="s">
        <v>1337</v>
      </c>
      <c r="B14" s="972" t="s">
        <v>2480</v>
      </c>
      <c r="C14" s="24">
        <f ca="1">ROUND(D14*E14*F11/10000,0)</f>
        <v>850</v>
      </c>
      <c r="D14" s="1033">
        <f ca="1">IF(C1="",'数据-汇总表'!E3,INDIRECT("'数据-取费表'!K"&amp;$K$1)+INDIRECT("'数据-取费表'!S"&amp;$K$1))</f>
        <v>117348.15999999993</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2482</v>
      </c>
      <c r="C15" s="983">
        <f ca="1">ROUND(C11*F15,0)</f>
        <v>149</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11674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1291</v>
      </c>
      <c r="D17" s="1033">
        <f ca="1">D14</f>
        <v>117348.15999999993</v>
      </c>
      <c r="E17" s="24">
        <f>'数据-取费表'!B32</f>
        <v>110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2487</v>
      </c>
      <c r="C18" s="24">
        <f ca="1">C19+C20-IF(C1="",'数据-取费表'!B29,IF(G18="已全部缴纳",C19+C20,H18))</f>
        <v>2025</v>
      </c>
      <c r="D18" s="1033"/>
      <c r="E18" s="24"/>
      <c r="F18" s="976"/>
      <c r="G18" s="2554"/>
      <c r="H18" s="1577"/>
      <c r="I18" s="2555" t="s">
        <v>2488</v>
      </c>
      <c r="J18" s="979"/>
      <c r="K18" s="980"/>
    </row>
    <row r="19" spans="1:33" s="975" customFormat="1" ht="13.5" customHeight="1">
      <c r="A19" s="971" t="s">
        <v>805</v>
      </c>
      <c r="B19" s="972" t="s">
        <v>2489</v>
      </c>
      <c r="C19" s="24">
        <f ca="1">ROUND(D19*E19/10000,0)</f>
        <v>770</v>
      </c>
      <c r="D19" s="1033">
        <f ca="1">IF(C1="",'数据-汇总表'!E5,IF(INDIRECT("'数据-取费表'!c"&amp;$K$1)="住宅",INDIRECT("'数据-取费表'!k"&amp;$K$1),0))</f>
        <v>51317.149999999921</v>
      </c>
      <c r="E19" s="24">
        <f>'数据-取费表'!B27</f>
        <v>150</v>
      </c>
      <c r="F19" s="976"/>
      <c r="G19" s="15"/>
      <c r="H19" s="1579"/>
      <c r="I19" s="981"/>
      <c r="J19" s="981"/>
      <c r="K19" s="982"/>
    </row>
    <row r="20" spans="1:33" s="975" customFormat="1" ht="13.5" customHeight="1">
      <c r="A20" s="971" t="s">
        <v>806</v>
      </c>
      <c r="B20" s="972" t="s">
        <v>2490</v>
      </c>
      <c r="C20" s="24">
        <f ca="1">ROUND(D20*E20/10000,0)</f>
        <v>1255</v>
      </c>
      <c r="D20" s="1033">
        <f ca="1">IF(C1="",'数据-汇总表'!E6,IF(INDIRECT("'数据-取费表'!c"&amp;$K$1)="住宅",INDIRECT("'数据-取费表'!s"&amp;$K$1),INDIRECT("'数据-取费表'!k"&amp;$K$1)+INDIRECT("'数据-取费表'!s"&amp;$K$1)))</f>
        <v>66031.010000000009</v>
      </c>
      <c r="E20" s="24">
        <f>'数据-取费表'!B28</f>
        <v>190</v>
      </c>
      <c r="F20" s="976"/>
      <c r="G20" s="15"/>
      <c r="H20" s="981"/>
      <c r="I20" s="981"/>
      <c r="J20" s="981"/>
      <c r="K20" s="982"/>
    </row>
    <row r="21" spans="1:33" s="975" customFormat="1" ht="13.5" customHeight="1">
      <c r="A21" s="961" t="s">
        <v>802</v>
      </c>
      <c r="B21" s="985" t="s">
        <v>2491</v>
      </c>
      <c r="C21" s="986">
        <f ca="1">C16+C17+C18</f>
        <v>14990</v>
      </c>
      <c r="D21" s="987"/>
      <c r="E21" s="325"/>
      <c r="F21" s="325"/>
      <c r="G21" s="140" t="s">
        <v>2492</v>
      </c>
      <c r="H21" s="979"/>
      <c r="I21" s="979"/>
      <c r="J21" s="979"/>
      <c r="K21" s="980"/>
    </row>
    <row r="22" spans="1:33" s="975" customFormat="1" ht="13.5" customHeight="1">
      <c r="A22" s="961" t="s">
        <v>2464</v>
      </c>
      <c r="B22" s="985" t="s">
        <v>2493</v>
      </c>
      <c r="C22" s="986">
        <f ca="1">ROUND(C21*F22,0)</f>
        <v>300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2799</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468</v>
      </c>
      <c r="D25" s="324">
        <f ca="1">C26</f>
        <v>5.3900000000000003E-2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5.3900000000000003E-2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468</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2504</v>
      </c>
      <c r="B28" s="2557" t="s">
        <v>2505</v>
      </c>
      <c r="C28" s="331">
        <f ca="1">C30</f>
        <v>2713</v>
      </c>
      <c r="D28" s="324">
        <f ca="1">C29</f>
        <v>5.6599999999999998E-2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5.6599999999999998E-2</v>
      </c>
      <c r="D29" s="328"/>
      <c r="E29" s="329"/>
      <c r="F29" s="334"/>
      <c r="G29" s="140" t="s">
        <v>2507</v>
      </c>
      <c r="H29" s="979"/>
      <c r="I29" s="979"/>
      <c r="J29" s="979"/>
      <c r="K29" s="980"/>
    </row>
    <row r="30" spans="1:33" s="335" customFormat="1" ht="13.5" customHeight="1">
      <c r="A30" s="971" t="s">
        <v>804</v>
      </c>
      <c r="B30" s="994" t="s">
        <v>2508</v>
      </c>
      <c r="C30" s="336">
        <f ca="1">ROUND((C21+C22+C23)*F28,0)</f>
        <v>2713</v>
      </c>
      <c r="D30" s="328"/>
      <c r="E30" s="329"/>
      <c r="F30" s="334"/>
      <c r="G30" s="140"/>
      <c r="H30" s="979"/>
      <c r="I30" s="979"/>
      <c r="J30" s="979"/>
      <c r="K30" s="980"/>
    </row>
    <row r="31" spans="1:33" s="975" customFormat="1" ht="13.5" customHeight="1" thickBot="1">
      <c r="A31" s="2558" t="s">
        <v>2509</v>
      </c>
      <c r="B31" s="1005" t="s">
        <v>2510</v>
      </c>
      <c r="C31" s="1006">
        <f ca="1">ROUND(C4*F31/(1+'数据-取费表'!C42),0)</f>
        <v>20253</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302874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25" sqref="J1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0" t="s">
        <v>2524</v>
      </c>
      <c r="C1" s="1634" t="s">
        <v>2525</v>
      </c>
      <c r="D1" s="1621" t="s">
        <v>3158</v>
      </c>
      <c r="E1" s="2581"/>
      <c r="F1" s="2582" t="s">
        <v>2526</v>
      </c>
      <c r="G1" s="1631" t="s">
        <v>2527</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275500</v>
      </c>
      <c r="C2" s="2584" t="s">
        <v>70</v>
      </c>
      <c r="D2" s="1365" t="e">
        <f ca="1">SUMIF(INDIRECT("'"&amp;F2&amp;"'"&amp;"!A:A"),"承租人权益价值",INDIRECT("'"&amp;F2&amp;"'"&amp;"!c:c"))</f>
        <v>#REF!</v>
      </c>
      <c r="E2" s="2585" t="s">
        <v>2528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68676</v>
      </c>
      <c r="C3" s="400" t="s">
        <v>2529</v>
      </c>
      <c r="D3" s="399">
        <f>IF(D1="",'数据-汇总表'!E3,SUMIF('数据-汇总表'!$C19:$C33,D1,'数据-汇总表'!$E19:$E33))</f>
        <v>40115.94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2530</v>
      </c>
      <c r="B4" s="402"/>
      <c r="C4" s="3331" t="s">
        <v>2531</v>
      </c>
      <c r="D4" s="3332"/>
      <c r="E4" s="3333" t="s">
        <v>2532</v>
      </c>
      <c r="F4" s="3334"/>
      <c r="G4" s="3331" t="s">
        <v>2533</v>
      </c>
      <c r="H4" s="3332"/>
      <c r="I4" s="3331" t="s">
        <v>2534</v>
      </c>
      <c r="J4" s="3332"/>
      <c r="K4" s="2594" t="s">
        <v>2535</v>
      </c>
      <c r="L4" s="1130"/>
      <c r="M4" s="1131"/>
      <c r="N4" s="1131"/>
      <c r="O4" s="1131"/>
      <c r="P4" s="3335" t="s">
        <v>2536</v>
      </c>
      <c r="Q4" s="3336"/>
      <c r="R4" s="3318" t="s">
        <v>2532</v>
      </c>
      <c r="S4" s="3319"/>
      <c r="T4" s="3318" t="s">
        <v>2533</v>
      </c>
      <c r="U4" s="3319"/>
      <c r="V4" s="3343" t="s">
        <v>2534</v>
      </c>
      <c r="W4" s="3343"/>
      <c r="X4" s="1813"/>
      <c r="Y4" s="3318" t="s">
        <v>2536</v>
      </c>
      <c r="Z4" s="3319"/>
      <c r="AA4" s="3313" t="s">
        <v>2532</v>
      </c>
      <c r="AB4" s="3313" t="s">
        <v>2533</v>
      </c>
      <c r="AC4" s="3313" t="s">
        <v>2534</v>
      </c>
    </row>
    <row r="5" spans="1:29" ht="15">
      <c r="A5" s="404"/>
      <c r="B5" s="405"/>
      <c r="C5" s="3324" t="s">
        <v>3171</v>
      </c>
      <c r="D5" s="3325"/>
      <c r="E5" s="3322" t="s">
        <v>3172</v>
      </c>
      <c r="F5" s="3323"/>
      <c r="G5" s="3324" t="s">
        <v>3173</v>
      </c>
      <c r="H5" s="3325"/>
      <c r="I5" s="3324" t="s">
        <v>3174</v>
      </c>
      <c r="J5" s="3325"/>
      <c r="K5" s="2595"/>
      <c r="L5" s="1130"/>
      <c r="M5" s="1131"/>
      <c r="N5" s="1131"/>
      <c r="O5" s="1131"/>
      <c r="P5" s="3337"/>
      <c r="Q5" s="3338"/>
      <c r="R5" s="3320"/>
      <c r="S5" s="3321"/>
      <c r="T5" s="3320"/>
      <c r="U5" s="3321"/>
      <c r="V5" s="3343"/>
      <c r="W5" s="3343"/>
      <c r="X5" s="1813"/>
      <c r="Y5" s="3320"/>
      <c r="Z5" s="3321"/>
      <c r="AA5" s="3314"/>
      <c r="AB5" s="3314"/>
      <c r="AC5" s="3314"/>
    </row>
    <row r="6" spans="1:29" ht="27.75" customHeight="1" thickBot="1">
      <c r="A6" s="406"/>
      <c r="B6" s="407"/>
      <c r="C6" s="3326" t="s">
        <v>3175</v>
      </c>
      <c r="D6" s="3327"/>
      <c r="E6" s="3328" t="s">
        <v>3176</v>
      </c>
      <c r="F6" s="3329"/>
      <c r="G6" s="3386" t="s">
        <v>3177</v>
      </c>
      <c r="H6" s="3387"/>
      <c r="I6" s="3326" t="s">
        <v>3178</v>
      </c>
      <c r="J6" s="3327"/>
      <c r="K6" s="2595" t="s">
        <v>2542</v>
      </c>
      <c r="L6" s="1130"/>
      <c r="M6" s="1131"/>
      <c r="N6" s="1131"/>
      <c r="O6" s="1131"/>
      <c r="P6" s="3339"/>
      <c r="Q6" s="3340"/>
      <c r="R6" s="3320"/>
      <c r="S6" s="3321"/>
      <c r="T6" s="3341"/>
      <c r="U6" s="3342"/>
      <c r="V6" s="3343"/>
      <c r="W6" s="3343"/>
      <c r="X6" s="1813"/>
      <c r="Y6" s="3341"/>
      <c r="Z6" s="3342"/>
      <c r="AA6" s="3315"/>
      <c r="AB6" s="3315"/>
      <c r="AC6" s="3315"/>
    </row>
    <row r="7" spans="1:29" s="117" customFormat="1" ht="15.75" thickBot="1">
      <c r="A7" s="408" t="s">
        <v>2543</v>
      </c>
      <c r="B7" s="409"/>
      <c r="C7" s="410">
        <f>'数据-取费表'!B2</f>
        <v>43111</v>
      </c>
      <c r="D7" s="411">
        <v>100</v>
      </c>
      <c r="E7" s="412">
        <v>43101</v>
      </c>
      <c r="F7" s="413">
        <f>SUMIF(58:58,YEAR(E7)&amp;"-"&amp;MONTH(E7),59:59)</f>
        <v>100</v>
      </c>
      <c r="G7" s="412">
        <v>43101</v>
      </c>
      <c r="H7" s="411">
        <f>SUMIF(58:58,YEAR(G7)&amp;"-"&amp;MONTH(G7),59:59)</f>
        <v>100</v>
      </c>
      <c r="I7" s="412">
        <v>43101</v>
      </c>
      <c r="J7" s="411">
        <f>SUMIF(58:58,YEAR(I7)&amp;"-"&amp;MONTH(I7),59:59)</f>
        <v>100</v>
      </c>
      <c r="K7" s="2596"/>
      <c r="L7" s="1132"/>
      <c r="M7" s="1133"/>
      <c r="N7" s="1133"/>
      <c r="O7" s="1133"/>
      <c r="P7" s="3316" t="s">
        <v>2544</v>
      </c>
      <c r="Q7" s="3344"/>
      <c r="R7" s="770" t="s">
        <v>23</v>
      </c>
      <c r="S7" s="771">
        <f t="shared" ref="S7:S15" si="0">F7</f>
        <v>100</v>
      </c>
      <c r="T7" s="770" t="s">
        <v>23</v>
      </c>
      <c r="U7" s="771">
        <f t="shared" ref="U7:U15" si="1">H7</f>
        <v>100</v>
      </c>
      <c r="V7" s="770" t="s">
        <v>23</v>
      </c>
      <c r="W7" s="771">
        <f t="shared" ref="W7:W15" si="2">J7</f>
        <v>100</v>
      </c>
      <c r="X7" s="772"/>
      <c r="Y7" s="3316" t="s">
        <v>2544</v>
      </c>
      <c r="Z7" s="3317"/>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6"/>
      <c r="L8" s="1132"/>
      <c r="M8" s="1133"/>
      <c r="N8" s="1133"/>
      <c r="O8" s="1133"/>
      <c r="P8" s="3316" t="s">
        <v>2547</v>
      </c>
      <c r="Q8" s="3317"/>
      <c r="R8" s="770" t="s">
        <v>23</v>
      </c>
      <c r="S8" s="771">
        <f t="shared" si="0"/>
        <v>100</v>
      </c>
      <c r="T8" s="770" t="s">
        <v>23</v>
      </c>
      <c r="U8" s="771">
        <f t="shared" si="1"/>
        <v>100</v>
      </c>
      <c r="V8" s="770" t="s">
        <v>23</v>
      </c>
      <c r="W8" s="771">
        <f t="shared" si="2"/>
        <v>100</v>
      </c>
      <c r="X8" s="772"/>
      <c r="Y8" s="3316" t="s">
        <v>2547</v>
      </c>
      <c r="Z8" s="3317"/>
      <c r="AA8" s="773">
        <f t="shared" ref="AA8:AA19" si="3">D8/F8</f>
        <v>1</v>
      </c>
      <c r="AB8" s="773">
        <f t="shared" ref="AB8:AB19" si="4">D8/H8</f>
        <v>1</v>
      </c>
      <c r="AC8" s="773">
        <f t="shared" ref="AC8:AC19" si="5">D8/J8</f>
        <v>1</v>
      </c>
    </row>
    <row r="9" spans="1:29" s="117" customFormat="1">
      <c r="A9" s="415" t="s">
        <v>2548</v>
      </c>
      <c r="B9" s="71" t="s">
        <v>2549</v>
      </c>
      <c r="C9" s="2980" t="s">
        <v>3179</v>
      </c>
      <c r="D9" s="135">
        <v>100</v>
      </c>
      <c r="E9" s="417" t="s">
        <v>3151</v>
      </c>
      <c r="F9" s="418">
        <f>SUMIF(63:63,E9,64:64)-SUMIF(63:63,C9,64:64)+100</f>
        <v>100</v>
      </c>
      <c r="G9" s="417" t="s">
        <v>3151</v>
      </c>
      <c r="H9" s="135">
        <f>SUMIF(63:63,G9,64:64)-SUMIF(63:63,C9,64:64)+100</f>
        <v>100</v>
      </c>
      <c r="I9" s="417" t="s">
        <v>3151</v>
      </c>
      <c r="J9" s="135">
        <f>SUMIF(63:63,I9,64:64)-SUMIF(63:63,C9,64:64)+100</f>
        <v>100</v>
      </c>
      <c r="K9" s="2596"/>
      <c r="L9" s="1132"/>
      <c r="M9" s="1133"/>
      <c r="N9" s="1133"/>
      <c r="O9" s="1133"/>
      <c r="P9" s="3354" t="s">
        <v>2550</v>
      </c>
      <c r="Q9" s="1795" t="str">
        <f t="shared" ref="Q9:Q15" si="6">B9</f>
        <v>用途</v>
      </c>
      <c r="R9" s="770" t="s">
        <v>17</v>
      </c>
      <c r="S9" s="771">
        <f t="shared" si="0"/>
        <v>100</v>
      </c>
      <c r="T9" s="770" t="s">
        <v>17</v>
      </c>
      <c r="U9" s="771">
        <f t="shared" si="1"/>
        <v>100</v>
      </c>
      <c r="V9" s="770" t="s">
        <v>17</v>
      </c>
      <c r="W9" s="771">
        <f t="shared" si="2"/>
        <v>100</v>
      </c>
      <c r="X9" s="772"/>
      <c r="Y9" s="3171" t="s">
        <v>2551</v>
      </c>
      <c r="Z9" s="55" t="str">
        <f t="shared" ref="Z9:Z15" si="7">Q9</f>
        <v>用途</v>
      </c>
      <c r="AA9" s="773">
        <f t="shared" si="3"/>
        <v>1</v>
      </c>
      <c r="AB9" s="773">
        <f t="shared" si="4"/>
        <v>1</v>
      </c>
      <c r="AC9" s="773">
        <f t="shared" si="5"/>
        <v>1</v>
      </c>
    </row>
    <row r="10" spans="1:29" s="427" customFormat="1" ht="27">
      <c r="A10" s="421"/>
      <c r="B10" s="422" t="s">
        <v>2552</v>
      </c>
      <c r="C10" s="423" t="s">
        <v>3180</v>
      </c>
      <c r="D10" s="136">
        <v>100</v>
      </c>
      <c r="E10" s="423" t="s">
        <v>3180</v>
      </c>
      <c r="F10" s="425">
        <f>SUMIF(65:65,E10,66:66)-SUMIF(65:65,C10,66:66)+100</f>
        <v>100</v>
      </c>
      <c r="G10" s="423" t="s">
        <v>3180</v>
      </c>
      <c r="H10" s="136">
        <f>SUMIF(65:65,G10,66:66)-SUMIF(65:65,C10,66:66)+100</f>
        <v>100</v>
      </c>
      <c r="I10" s="423" t="s">
        <v>3180</v>
      </c>
      <c r="J10" s="136">
        <f>SUMIF(65:65,I10,66:66)-SUMIF(65:65,C10,66:66)+100</f>
        <v>100</v>
      </c>
      <c r="K10" s="426"/>
      <c r="L10" s="1135"/>
      <c r="M10" s="1136"/>
      <c r="N10" s="1136"/>
      <c r="O10" s="1136"/>
      <c r="P10" s="3354"/>
      <c r="Q10" s="1795" t="str">
        <f t="shared" si="6"/>
        <v>土地使用年限（年）</v>
      </c>
      <c r="R10" s="770" t="s">
        <v>17</v>
      </c>
      <c r="S10" s="771">
        <f t="shared" si="0"/>
        <v>100</v>
      </c>
      <c r="T10" s="770" t="s">
        <v>17</v>
      </c>
      <c r="U10" s="771">
        <f t="shared" si="1"/>
        <v>100</v>
      </c>
      <c r="V10" s="770" t="s">
        <v>17</v>
      </c>
      <c r="W10" s="771">
        <f t="shared" si="2"/>
        <v>100</v>
      </c>
      <c r="X10" s="772"/>
      <c r="Y10" s="3171"/>
      <c r="Z10" s="55" t="str">
        <f t="shared" si="7"/>
        <v>土地使用年限（年）</v>
      </c>
      <c r="AA10" s="773">
        <f t="shared" si="3"/>
        <v>1</v>
      </c>
      <c r="AB10" s="773">
        <f t="shared" si="4"/>
        <v>1</v>
      </c>
      <c r="AC10" s="773">
        <f t="shared" si="5"/>
        <v>1</v>
      </c>
    </row>
    <row r="11" spans="1:29" ht="15.75" thickBot="1">
      <c r="A11" s="428"/>
      <c r="B11" s="422" t="s">
        <v>2553</v>
      </c>
      <c r="C11" s="429">
        <f>规证整理!O6</f>
        <v>3.29</v>
      </c>
      <c r="D11" s="136">
        <v>100</v>
      </c>
      <c r="E11" s="430">
        <v>0.72</v>
      </c>
      <c r="F11" s="425">
        <f>LOOKUP(E11,68:68,69:69)-LOOKUP(C11,68:68,69:69)+100</f>
        <v>103</v>
      </c>
      <c r="G11" s="429">
        <v>1.3</v>
      </c>
      <c r="H11" s="136">
        <f>LOOKUP(G11,68:68,69:69)-LOOKUP(C11,68:68,69:69)+100</f>
        <v>102</v>
      </c>
      <c r="I11" s="429">
        <v>0.3</v>
      </c>
      <c r="J11" s="136">
        <f>LOOKUP(I11,68:68,69:69)-LOOKUP(C11,68:68,69:69)+100</f>
        <v>103</v>
      </c>
      <c r="K11" s="426">
        <v>1</v>
      </c>
      <c r="L11" s="1138"/>
      <c r="M11" s="1131"/>
      <c r="N11" s="1131"/>
      <c r="O11" s="1131"/>
      <c r="P11" s="3354"/>
      <c r="Q11" s="1795" t="str">
        <f t="shared" si="6"/>
        <v>容积率</v>
      </c>
      <c r="R11" s="770" t="s">
        <v>21</v>
      </c>
      <c r="S11" s="771">
        <f t="shared" si="0"/>
        <v>103</v>
      </c>
      <c r="T11" s="770" t="s">
        <v>21</v>
      </c>
      <c r="U11" s="771">
        <f t="shared" si="1"/>
        <v>102</v>
      </c>
      <c r="V11" s="770" t="s">
        <v>21</v>
      </c>
      <c r="W11" s="771">
        <f t="shared" si="2"/>
        <v>103</v>
      </c>
      <c r="X11" s="772"/>
      <c r="Y11" s="3171"/>
      <c r="Z11" s="55" t="str">
        <f t="shared" si="7"/>
        <v>容积率</v>
      </c>
      <c r="AA11" s="773">
        <f t="shared" si="3"/>
        <v>0.970873786407767</v>
      </c>
      <c r="AB11" s="773">
        <f t="shared" si="4"/>
        <v>0.98039215686274506</v>
      </c>
      <c r="AC11" s="773">
        <f t="shared" si="5"/>
        <v>0.970873786407767</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354"/>
      <c r="Q12" s="1795">
        <f t="shared" si="6"/>
        <v>111</v>
      </c>
      <c r="R12" s="770" t="s">
        <v>21</v>
      </c>
      <c r="S12" s="771">
        <f t="shared" si="0"/>
        <v>100</v>
      </c>
      <c r="T12" s="770" t="s">
        <v>21</v>
      </c>
      <c r="U12" s="771">
        <f t="shared" si="1"/>
        <v>100</v>
      </c>
      <c r="V12" s="770" t="s">
        <v>21</v>
      </c>
      <c r="W12" s="771">
        <f t="shared" si="2"/>
        <v>100</v>
      </c>
      <c r="X12" s="772"/>
      <c r="Y12" s="3171"/>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354"/>
      <c r="Q13" s="1795">
        <f t="shared" si="6"/>
        <v>111</v>
      </c>
      <c r="R13" s="770" t="s">
        <v>21</v>
      </c>
      <c r="S13" s="771">
        <f t="shared" si="0"/>
        <v>100</v>
      </c>
      <c r="T13" s="770" t="s">
        <v>21</v>
      </c>
      <c r="U13" s="771">
        <f t="shared" si="1"/>
        <v>100</v>
      </c>
      <c r="V13" s="770" t="s">
        <v>21</v>
      </c>
      <c r="W13" s="771">
        <f t="shared" si="2"/>
        <v>100</v>
      </c>
      <c r="X13" s="772"/>
      <c r="Y13" s="3171"/>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354"/>
      <c r="Q14" s="1795">
        <f t="shared" si="6"/>
        <v>111</v>
      </c>
      <c r="R14" s="770" t="s">
        <v>21</v>
      </c>
      <c r="S14" s="771">
        <f t="shared" si="0"/>
        <v>100</v>
      </c>
      <c r="T14" s="770" t="s">
        <v>21</v>
      </c>
      <c r="U14" s="771">
        <f t="shared" si="1"/>
        <v>100</v>
      </c>
      <c r="V14" s="770" t="s">
        <v>21</v>
      </c>
      <c r="W14" s="771">
        <f t="shared" si="2"/>
        <v>100</v>
      </c>
      <c r="X14" s="772"/>
      <c r="Y14" s="3171"/>
      <c r="Z14" s="55">
        <f t="shared" si="7"/>
        <v>111</v>
      </c>
      <c r="AA14" s="773">
        <f t="shared" si="3"/>
        <v>1</v>
      </c>
      <c r="AB14" s="773">
        <f t="shared" si="4"/>
        <v>1</v>
      </c>
      <c r="AC14" s="773">
        <f t="shared" si="5"/>
        <v>1</v>
      </c>
    </row>
    <row r="15" spans="1:29" ht="156.75">
      <c r="A15" s="440" t="s">
        <v>2554</v>
      </c>
      <c r="B15" s="69" t="s">
        <v>2083</v>
      </c>
      <c r="C15" s="2600" t="str">
        <f>估价对象房地状况!C3</f>
        <v>估价对象周边居住用地比例大、居住小区规模大且社区发展完善程度较好，如北京晨浩花园、海德堡小区、柏林在线等住宅小区，综合评价居住社区成熟度好。</v>
      </c>
      <c r="D15" s="441">
        <v>100</v>
      </c>
      <c r="E15" s="2982" t="s">
        <v>3184</v>
      </c>
      <c r="F15" s="441">
        <f>SUMIF(76:76,E16,77:77)-SUMIF(76:76,C16,77:77)+100</f>
        <v>97</v>
      </c>
      <c r="G15" s="2983" t="s">
        <v>3185</v>
      </c>
      <c r="H15" s="441">
        <f>SUMIF(76:76,G16,77:77)-SUMIF(76:76,C16,77:77)+100</f>
        <v>100</v>
      </c>
      <c r="I15" s="2983" t="s">
        <v>3186</v>
      </c>
      <c r="J15" s="441">
        <f>SUMIF(76:76,I16,77:77)-SUMIF(76:76,C16,77:77)+100</f>
        <v>100</v>
      </c>
      <c r="K15" s="445">
        <v>3</v>
      </c>
      <c r="L15" s="1140"/>
      <c r="M15" s="1131"/>
      <c r="N15" s="1131"/>
      <c r="O15" s="1131"/>
      <c r="P15" s="3394" t="s">
        <v>2555</v>
      </c>
      <c r="Q15" s="1810" t="str">
        <f t="shared" si="6"/>
        <v>居住社区成熟度</v>
      </c>
      <c r="R15" s="774" t="s">
        <v>21</v>
      </c>
      <c r="S15" s="775">
        <f t="shared" si="0"/>
        <v>97</v>
      </c>
      <c r="T15" s="774" t="s">
        <v>21</v>
      </c>
      <c r="U15" s="775">
        <f t="shared" si="1"/>
        <v>100</v>
      </c>
      <c r="V15" s="774" t="s">
        <v>21</v>
      </c>
      <c r="W15" s="775">
        <f t="shared" si="2"/>
        <v>100</v>
      </c>
      <c r="X15" s="1813"/>
      <c r="Y15" s="3345" t="s">
        <v>2555</v>
      </c>
      <c r="Z15" s="1814" t="str">
        <f t="shared" si="7"/>
        <v>居住社区成熟度</v>
      </c>
      <c r="AA15" s="1811">
        <f t="shared" si="3"/>
        <v>1.0309278350515463</v>
      </c>
      <c r="AB15" s="1811">
        <f t="shared" si="4"/>
        <v>1</v>
      </c>
      <c r="AC15" s="1811">
        <f t="shared" si="5"/>
        <v>1</v>
      </c>
    </row>
    <row r="16" spans="1:29" ht="15">
      <c r="A16" s="428"/>
      <c r="B16" s="446"/>
      <c r="C16" s="447" t="s">
        <v>3190</v>
      </c>
      <c r="D16" s="448"/>
      <c r="E16" s="2601" t="s">
        <v>3189</v>
      </c>
      <c r="F16" s="448"/>
      <c r="G16" s="2602" t="s">
        <v>3190</v>
      </c>
      <c r="H16" s="450"/>
      <c r="I16" s="2602" t="s">
        <v>3190</v>
      </c>
      <c r="J16" s="448"/>
      <c r="K16" s="2603"/>
      <c r="L16" s="1140"/>
      <c r="M16" s="1131"/>
      <c r="N16" s="1131"/>
      <c r="O16" s="1131"/>
      <c r="P16" s="3395"/>
      <c r="Q16" s="1810"/>
      <c r="R16" s="774"/>
      <c r="S16" s="775"/>
      <c r="T16" s="774"/>
      <c r="U16" s="775"/>
      <c r="V16" s="774"/>
      <c r="W16" s="775"/>
      <c r="X16" s="1813"/>
      <c r="Y16" s="3346"/>
      <c r="Z16" s="1814"/>
      <c r="AA16" s="1811">
        <v>1</v>
      </c>
      <c r="AB16" s="1811">
        <v>1</v>
      </c>
      <c r="AC16" s="1811">
        <v>1</v>
      </c>
    </row>
    <row r="17" spans="1:29" ht="128.25">
      <c r="A17" s="428"/>
      <c r="B17" s="451" t="s">
        <v>2094</v>
      </c>
      <c r="C17" s="2604" t="str">
        <f>估价对象房地状况!C6</f>
        <v>估价对象多面临街，周边道路路网较为密集，公共交通通达情况较好，有417、533路等、停车便捷程度较好，综合评价交通便捷度较好。</v>
      </c>
      <c r="D17" s="450">
        <v>100</v>
      </c>
      <c r="E17" s="454" t="s">
        <v>3196</v>
      </c>
      <c r="F17" s="450">
        <f>SUMIF(78:78,E18,79:79)-SUMIF(78:78,C18,79:79)+100</f>
        <v>100</v>
      </c>
      <c r="G17" s="454" t="s">
        <v>3198</v>
      </c>
      <c r="H17" s="455">
        <f>SUMIF(78:78,G18,79:79)-SUMIF(78:78,C18,79:79)+100</f>
        <v>100</v>
      </c>
      <c r="I17" s="454" t="s">
        <v>3199</v>
      </c>
      <c r="J17" s="455">
        <f>SUMIF(78:78,I18,79:79)-SUMIF(78:78,C18,79:79)+100</f>
        <v>100</v>
      </c>
      <c r="K17" s="445"/>
      <c r="L17" s="1140"/>
      <c r="M17" s="1131"/>
      <c r="N17" s="1131"/>
      <c r="O17" s="1131"/>
      <c r="P17" s="3395"/>
      <c r="Q17" s="1810" t="str">
        <f>B17</f>
        <v>交通便捷度</v>
      </c>
      <c r="R17" s="774" t="s">
        <v>21</v>
      </c>
      <c r="S17" s="775">
        <f>F17</f>
        <v>100</v>
      </c>
      <c r="T17" s="774" t="s">
        <v>21</v>
      </c>
      <c r="U17" s="775">
        <f>H17</f>
        <v>100</v>
      </c>
      <c r="V17" s="774" t="s">
        <v>21</v>
      </c>
      <c r="W17" s="775">
        <f>J17</f>
        <v>100</v>
      </c>
      <c r="X17" s="1813"/>
      <c r="Y17" s="3346"/>
      <c r="Z17" s="1814" t="str">
        <f>Q17</f>
        <v>交通便捷度</v>
      </c>
      <c r="AA17" s="1811">
        <f t="shared" si="3"/>
        <v>1</v>
      </c>
      <c r="AB17" s="1811">
        <f t="shared" si="4"/>
        <v>1</v>
      </c>
      <c r="AC17" s="1811">
        <f t="shared" si="5"/>
        <v>1</v>
      </c>
    </row>
    <row r="18" spans="1:29" ht="15">
      <c r="A18" s="428"/>
      <c r="B18" s="456"/>
      <c r="C18" s="2605" t="s">
        <v>3189</v>
      </c>
      <c r="D18" s="450"/>
      <c r="E18" s="447" t="s">
        <v>3189</v>
      </c>
      <c r="F18" s="450"/>
      <c r="G18" s="447" t="s">
        <v>3189</v>
      </c>
      <c r="H18" s="448"/>
      <c r="I18" s="447" t="s">
        <v>3189</v>
      </c>
      <c r="J18" s="448"/>
      <c r="K18" s="2603"/>
      <c r="L18" s="1140"/>
      <c r="M18" s="1131"/>
      <c r="N18" s="1131"/>
      <c r="O18" s="1131"/>
      <c r="P18" s="3395"/>
      <c r="Q18" s="1810"/>
      <c r="R18" s="774"/>
      <c r="S18" s="775"/>
      <c r="T18" s="774"/>
      <c r="U18" s="775"/>
      <c r="V18" s="774"/>
      <c r="W18" s="775"/>
      <c r="X18" s="1813"/>
      <c r="Y18" s="3346"/>
      <c r="Z18" s="1814"/>
      <c r="AA18" s="1811">
        <v>1</v>
      </c>
      <c r="AB18" s="1811">
        <v>1</v>
      </c>
      <c r="AC18" s="1811">
        <v>1</v>
      </c>
    </row>
    <row r="19" spans="1:29" ht="213.75">
      <c r="A19" s="428"/>
      <c r="B19" s="451" t="s">
        <v>2092</v>
      </c>
      <c r="C19" s="2604"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t="s">
        <v>3197</v>
      </c>
      <c r="F19" s="455">
        <f>SUMIF(80:80,E20,81:81)-SUMIF(80:80,C20,81:81)+100</f>
        <v>98</v>
      </c>
      <c r="G19" s="459" t="s">
        <v>3201</v>
      </c>
      <c r="H19" s="450">
        <f>SUMIF(80:80,G20,81:81)-SUMIF(80:80,C20,81:81)+100</f>
        <v>100</v>
      </c>
      <c r="I19" s="457" t="s">
        <v>3200</v>
      </c>
      <c r="J19" s="450">
        <f>SUMIF(80:80,I20,81:81)-SUMIF(80:80,C20,81:81)+100</f>
        <v>100</v>
      </c>
      <c r="K19" s="445">
        <v>2</v>
      </c>
      <c r="L19" s="1140"/>
      <c r="M19" s="1131"/>
      <c r="N19" s="1131"/>
      <c r="O19" s="1131"/>
      <c r="P19" s="3395"/>
      <c r="Q19" s="1810" t="str">
        <f>B19</f>
        <v>公共配套设施</v>
      </c>
      <c r="R19" s="774" t="s">
        <v>21</v>
      </c>
      <c r="S19" s="775">
        <f>F19</f>
        <v>98</v>
      </c>
      <c r="T19" s="774" t="s">
        <v>21</v>
      </c>
      <c r="U19" s="775">
        <f>H19</f>
        <v>100</v>
      </c>
      <c r="V19" s="774" t="s">
        <v>21</v>
      </c>
      <c r="W19" s="775">
        <f>J19</f>
        <v>100</v>
      </c>
      <c r="X19" s="1813"/>
      <c r="Y19" s="3346"/>
      <c r="Z19" s="1814" t="str">
        <f>Q19</f>
        <v>公共配套设施</v>
      </c>
      <c r="AA19" s="1811">
        <f t="shared" si="3"/>
        <v>1.0204081632653061</v>
      </c>
      <c r="AB19" s="1811">
        <f t="shared" si="4"/>
        <v>1</v>
      </c>
      <c r="AC19" s="1811">
        <f t="shared" si="5"/>
        <v>1</v>
      </c>
    </row>
    <row r="20" spans="1:29" ht="15">
      <c r="A20" s="428"/>
      <c r="B20" s="456"/>
      <c r="C20" s="447" t="s">
        <v>3189</v>
      </c>
      <c r="D20" s="448"/>
      <c r="E20" s="447" t="s">
        <v>3192</v>
      </c>
      <c r="F20" s="448"/>
      <c r="G20" s="447" t="s">
        <v>3189</v>
      </c>
      <c r="H20" s="448"/>
      <c r="I20" s="447" t="s">
        <v>3189</v>
      </c>
      <c r="J20" s="448"/>
      <c r="K20" s="2603"/>
      <c r="L20" s="1140"/>
      <c r="M20" s="1131"/>
      <c r="N20" s="1131"/>
      <c r="O20" s="1131"/>
      <c r="P20" s="3395"/>
      <c r="Q20" s="1810"/>
      <c r="R20" s="774"/>
      <c r="S20" s="775"/>
      <c r="T20" s="774"/>
      <c r="U20" s="775"/>
      <c r="V20" s="774"/>
      <c r="W20" s="775"/>
      <c r="X20" s="1813"/>
      <c r="Y20" s="3346"/>
      <c r="Z20" s="1814"/>
      <c r="AA20" s="1811">
        <v>1</v>
      </c>
      <c r="AB20" s="1811">
        <v>1</v>
      </c>
      <c r="AC20" s="1811">
        <v>1</v>
      </c>
    </row>
    <row r="21" spans="1:29" ht="42.75">
      <c r="A21" s="428"/>
      <c r="B21" s="1384" t="s">
        <v>2095</v>
      </c>
      <c r="C21" s="2604" t="str">
        <f>估价对象房地状况!C8</f>
        <v>估价对象所在区域基础设施水平达到“七通”。</v>
      </c>
      <c r="D21" s="450">
        <v>100</v>
      </c>
      <c r="E21" s="459" t="s">
        <v>3194</v>
      </c>
      <c r="F21" s="455">
        <f>SUMIF(82:82,E22,83:83)-SUMIF(82:82,C22,83:83)+100</f>
        <v>100</v>
      </c>
      <c r="G21" s="459" t="s">
        <v>3195</v>
      </c>
      <c r="H21" s="450">
        <f>SUMIF(82:82,G22,83:83)-SUMIF(82:82,C22,83:83)+100</f>
        <v>100</v>
      </c>
      <c r="I21" s="459" t="s">
        <v>3194</v>
      </c>
      <c r="J21" s="450">
        <f>SUMIF(82:82,I22,83:83)-SUMIF(82:82,C22,83:83)+100</f>
        <v>100</v>
      </c>
      <c r="K21" s="445"/>
      <c r="L21" s="1140"/>
      <c r="M21" s="1131"/>
      <c r="N21" s="1131"/>
      <c r="O21" s="1131"/>
      <c r="P21" s="3395"/>
      <c r="Q21" s="1810" t="str">
        <f>B21</f>
        <v>基础设施水平</v>
      </c>
      <c r="R21" s="774" t="s">
        <v>17</v>
      </c>
      <c r="S21" s="775">
        <f>F21</f>
        <v>100</v>
      </c>
      <c r="T21" s="774" t="s">
        <v>17</v>
      </c>
      <c r="U21" s="775">
        <f>H21</f>
        <v>100</v>
      </c>
      <c r="V21" s="774" t="s">
        <v>17</v>
      </c>
      <c r="W21" s="775">
        <f>J21</f>
        <v>100</v>
      </c>
      <c r="X21" s="1813"/>
      <c r="Y21" s="3346"/>
      <c r="Z21" s="1814" t="str">
        <f>Q21</f>
        <v>基础设施水平</v>
      </c>
      <c r="AA21" s="1811">
        <f t="shared" ref="AA21" si="8">D21/F21</f>
        <v>1</v>
      </c>
      <c r="AB21" s="1811">
        <f t="shared" ref="AB21" si="9">D21/H21</f>
        <v>1</v>
      </c>
      <c r="AC21" s="1811">
        <f t="shared" ref="AC21" si="10">D21/J21</f>
        <v>1</v>
      </c>
    </row>
    <row r="22" spans="1:29" ht="15">
      <c r="A22" s="428"/>
      <c r="B22" s="1384"/>
      <c r="C22" s="2605" t="s">
        <v>3191</v>
      </c>
      <c r="D22" s="448"/>
      <c r="E22" s="2605" t="s">
        <v>3191</v>
      </c>
      <c r="F22" s="448"/>
      <c r="G22" s="2605" t="s">
        <v>3191</v>
      </c>
      <c r="H22" s="448"/>
      <c r="I22" s="2605" t="s">
        <v>3191</v>
      </c>
      <c r="J22" s="448"/>
      <c r="K22" s="2609"/>
      <c r="L22" s="1140"/>
      <c r="M22" s="1131"/>
      <c r="N22" s="1131"/>
      <c r="O22" s="1131"/>
      <c r="P22" s="3395"/>
      <c r="Q22" s="1810"/>
      <c r="R22" s="774"/>
      <c r="S22" s="775"/>
      <c r="T22" s="774"/>
      <c r="U22" s="775"/>
      <c r="V22" s="774"/>
      <c r="W22" s="775"/>
      <c r="X22" s="1813"/>
      <c r="Y22" s="3346"/>
      <c r="Z22" s="1814"/>
      <c r="AA22" s="1811">
        <v>1</v>
      </c>
      <c r="AB22" s="1811">
        <v>1</v>
      </c>
      <c r="AC22" s="1811">
        <v>1</v>
      </c>
    </row>
    <row r="23" spans="1:29" ht="108">
      <c r="A23" s="428"/>
      <c r="B23" s="451" t="s">
        <v>2099</v>
      </c>
      <c r="C23" s="2604" t="str">
        <f>估价对象房地状况!C9</f>
        <v>区域自然环境：未来科技城滨河公园；人文环境：无展览馆、博物馆等；综合评价环境状况一般。</v>
      </c>
      <c r="D23" s="450">
        <v>100</v>
      </c>
      <c r="E23" s="2989" t="s">
        <v>3193</v>
      </c>
      <c r="F23" s="450">
        <f>SUMIF(84:84,E24,85:85)-SUMIF(84:84,C24,85:85)+100</f>
        <v>100</v>
      </c>
      <c r="G23" s="2989" t="s">
        <v>3203</v>
      </c>
      <c r="H23" s="450">
        <f>SUMIF(84:84,G24,85:85)-SUMIF(84:84,C24,85:85)+100</f>
        <v>101</v>
      </c>
      <c r="I23" s="2989" t="s">
        <v>3202</v>
      </c>
      <c r="J23" s="450">
        <f>SUMIF(84:84,I24,85:85)-SUMIF(84:84,C24,85:85)+100</f>
        <v>100</v>
      </c>
      <c r="K23" s="445">
        <v>1</v>
      </c>
      <c r="L23" s="1140"/>
      <c r="M23" s="1131"/>
      <c r="N23" s="1131"/>
      <c r="O23" s="1131"/>
      <c r="P23" s="3395"/>
      <c r="Q23" s="1810" t="str">
        <f>B23</f>
        <v>自然及人文环境</v>
      </c>
      <c r="R23" s="774" t="s">
        <v>21</v>
      </c>
      <c r="S23" s="775">
        <f>F23</f>
        <v>100</v>
      </c>
      <c r="T23" s="774" t="s">
        <v>21</v>
      </c>
      <c r="U23" s="775">
        <f>H23</f>
        <v>101</v>
      </c>
      <c r="V23" s="774" t="s">
        <v>21</v>
      </c>
      <c r="W23" s="775">
        <f>J23</f>
        <v>100</v>
      </c>
      <c r="X23" s="1813"/>
      <c r="Y23" s="3346"/>
      <c r="Z23" s="1814" t="str">
        <f>Q23</f>
        <v>自然及人文环境</v>
      </c>
      <c r="AA23" s="1811">
        <f>D23/F23</f>
        <v>1</v>
      </c>
      <c r="AB23" s="1811">
        <f>D23/H23</f>
        <v>0.99009900990099009</v>
      </c>
      <c r="AC23" s="1811">
        <f>D23/J23</f>
        <v>1</v>
      </c>
    </row>
    <row r="24" spans="1:29" ht="15">
      <c r="A24" s="428"/>
      <c r="B24" s="456"/>
      <c r="C24" s="447" t="s">
        <v>3192</v>
      </c>
      <c r="D24" s="448"/>
      <c r="E24" s="2601" t="s">
        <v>3192</v>
      </c>
      <c r="F24" s="448"/>
      <c r="G24" s="2602" t="s">
        <v>3189</v>
      </c>
      <c r="H24" s="448"/>
      <c r="I24" s="2602" t="s">
        <v>3192</v>
      </c>
      <c r="J24" s="448"/>
      <c r="K24" s="2603"/>
      <c r="L24" s="1140"/>
      <c r="M24" s="1131"/>
      <c r="N24" s="1131"/>
      <c r="O24" s="1131"/>
      <c r="P24" s="3395"/>
      <c r="Q24" s="1810"/>
      <c r="R24" s="774"/>
      <c r="S24" s="775"/>
      <c r="T24" s="774"/>
      <c r="U24" s="775"/>
      <c r="V24" s="774"/>
      <c r="W24" s="775"/>
      <c r="X24" s="1813"/>
      <c r="Y24" s="3346"/>
      <c r="Z24" s="1814"/>
      <c r="AA24" s="1811">
        <v>1</v>
      </c>
      <c r="AB24" s="1811">
        <v>1</v>
      </c>
      <c r="AC24" s="1811">
        <v>1</v>
      </c>
    </row>
    <row r="25" spans="1:29" ht="15">
      <c r="A25" s="428"/>
      <c r="B25" s="422" t="s">
        <v>2556</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39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46"/>
      <c r="Z25" s="1814" t="str">
        <f>Q25</f>
        <v>楼层-1</v>
      </c>
      <c r="AA25" s="1811">
        <f t="shared" ref="AA25:AA46" si="15">D25/F25</f>
        <v>1</v>
      </c>
      <c r="AB25" s="1811">
        <f t="shared" ref="AB25:AB46" si="16">D25/H25</f>
        <v>1</v>
      </c>
      <c r="AC25" s="1811">
        <f t="shared" ref="AC25:AC46" si="17">D25/J25</f>
        <v>1</v>
      </c>
    </row>
    <row r="26" spans="1:29" ht="15.75" thickBot="1">
      <c r="A26" s="428"/>
      <c r="B26" s="422" t="s">
        <v>2557</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395"/>
      <c r="Q26" s="1810" t="str">
        <f t="shared" si="11"/>
        <v>朝向</v>
      </c>
      <c r="R26" s="774" t="s">
        <v>21</v>
      </c>
      <c r="S26" s="775">
        <f t="shared" si="12"/>
        <v>100</v>
      </c>
      <c r="T26" s="774" t="s">
        <v>21</v>
      </c>
      <c r="U26" s="775">
        <f t="shared" si="13"/>
        <v>100</v>
      </c>
      <c r="V26" s="774" t="s">
        <v>21</v>
      </c>
      <c r="W26" s="775">
        <f t="shared" si="14"/>
        <v>100</v>
      </c>
      <c r="X26" s="1813"/>
      <c r="Y26" s="3346"/>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95"/>
      <c r="Q27" s="1795">
        <f t="shared" si="11"/>
        <v>111</v>
      </c>
      <c r="R27" s="770" t="s">
        <v>21</v>
      </c>
      <c r="S27" s="771">
        <f t="shared" si="12"/>
        <v>100</v>
      </c>
      <c r="T27" s="770" t="s">
        <v>21</v>
      </c>
      <c r="U27" s="771">
        <f t="shared" si="13"/>
        <v>100</v>
      </c>
      <c r="V27" s="770" t="s">
        <v>21</v>
      </c>
      <c r="W27" s="771">
        <f t="shared" si="14"/>
        <v>100</v>
      </c>
      <c r="X27" s="772"/>
      <c r="Y27" s="3346"/>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95"/>
      <c r="Q28" s="1810">
        <f t="shared" si="11"/>
        <v>111</v>
      </c>
      <c r="R28" s="774" t="s">
        <v>21</v>
      </c>
      <c r="S28" s="775">
        <f t="shared" si="12"/>
        <v>100</v>
      </c>
      <c r="T28" s="774" t="s">
        <v>21</v>
      </c>
      <c r="U28" s="775">
        <f t="shared" si="13"/>
        <v>100</v>
      </c>
      <c r="V28" s="774" t="s">
        <v>21</v>
      </c>
      <c r="W28" s="775">
        <f t="shared" si="14"/>
        <v>100</v>
      </c>
      <c r="X28" s="1813"/>
      <c r="Y28" s="3346"/>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95"/>
      <c r="Q29" s="1810">
        <f t="shared" si="11"/>
        <v>111</v>
      </c>
      <c r="R29" s="774" t="s">
        <v>21</v>
      </c>
      <c r="S29" s="775">
        <f t="shared" si="12"/>
        <v>100</v>
      </c>
      <c r="T29" s="774" t="s">
        <v>21</v>
      </c>
      <c r="U29" s="775">
        <f t="shared" si="13"/>
        <v>100</v>
      </c>
      <c r="V29" s="774" t="s">
        <v>21</v>
      </c>
      <c r="W29" s="775">
        <f t="shared" si="14"/>
        <v>100</v>
      </c>
      <c r="X29" s="1813"/>
      <c r="Y29" s="3346"/>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95"/>
      <c r="Q30" s="1810">
        <f t="shared" si="11"/>
        <v>111</v>
      </c>
      <c r="R30" s="774" t="s">
        <v>21</v>
      </c>
      <c r="S30" s="775">
        <f t="shared" si="12"/>
        <v>100</v>
      </c>
      <c r="T30" s="774" t="s">
        <v>21</v>
      </c>
      <c r="U30" s="775">
        <f t="shared" si="13"/>
        <v>100</v>
      </c>
      <c r="V30" s="774" t="s">
        <v>21</v>
      </c>
      <c r="W30" s="775">
        <f t="shared" si="14"/>
        <v>100</v>
      </c>
      <c r="X30" s="1813"/>
      <c r="Y30" s="3346"/>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95"/>
      <c r="Q31" s="1810">
        <f t="shared" si="11"/>
        <v>111</v>
      </c>
      <c r="R31" s="774" t="s">
        <v>21</v>
      </c>
      <c r="S31" s="775">
        <f t="shared" si="12"/>
        <v>100</v>
      </c>
      <c r="T31" s="774" t="s">
        <v>21</v>
      </c>
      <c r="U31" s="775">
        <f t="shared" si="13"/>
        <v>100</v>
      </c>
      <c r="V31" s="774" t="s">
        <v>21</v>
      </c>
      <c r="W31" s="775">
        <f t="shared" si="14"/>
        <v>100</v>
      </c>
      <c r="X31" s="1813"/>
      <c r="Y31" s="3346"/>
      <c r="Z31" s="1814">
        <f t="shared" si="18"/>
        <v>111</v>
      </c>
      <c r="AA31" s="1811">
        <f t="shared" si="15"/>
        <v>1</v>
      </c>
      <c r="AB31" s="1811">
        <f t="shared" si="16"/>
        <v>1</v>
      </c>
      <c r="AC31" s="1811">
        <f t="shared" si="17"/>
        <v>1</v>
      </c>
    </row>
    <row r="32" spans="1:29" ht="15">
      <c r="A32" s="440" t="s">
        <v>2558</v>
      </c>
      <c r="B32" s="71" t="s">
        <v>2559</v>
      </c>
      <c r="C32" s="2614" t="s">
        <v>3152</v>
      </c>
      <c r="D32" s="467">
        <v>100</v>
      </c>
      <c r="E32" s="2615" t="s">
        <v>3220</v>
      </c>
      <c r="F32" s="461">
        <f>SUMIF(100:100,E32,101:101)-SUMIF(100:100,C32,101:101)+100</f>
        <v>103</v>
      </c>
      <c r="G32" s="2614" t="s">
        <v>3152</v>
      </c>
      <c r="H32" s="467">
        <f>SUMIF(100:100,G32,101:101)-SUMIF(100:100,C32,101:101)+100</f>
        <v>100</v>
      </c>
      <c r="I32" s="2615" t="s">
        <v>3221</v>
      </c>
      <c r="J32" s="435">
        <f>SUMIF(100:100,I32,101:101)-SUMIF(100:100,C32,101:101)+100</f>
        <v>104</v>
      </c>
      <c r="K32" s="426">
        <v>1</v>
      </c>
      <c r="L32" s="1140"/>
      <c r="M32" s="1131"/>
      <c r="N32" s="1131"/>
      <c r="O32" s="1131"/>
      <c r="P32" s="3390" t="s">
        <v>2560</v>
      </c>
      <c r="Q32" s="1810" t="str">
        <f t="shared" si="11"/>
        <v>建筑类型</v>
      </c>
      <c r="R32" s="774" t="s">
        <v>21</v>
      </c>
      <c r="S32" s="775">
        <f t="shared" si="12"/>
        <v>103</v>
      </c>
      <c r="T32" s="774" t="s">
        <v>21</v>
      </c>
      <c r="U32" s="775">
        <f t="shared" si="13"/>
        <v>100</v>
      </c>
      <c r="V32" s="774" t="s">
        <v>21</v>
      </c>
      <c r="W32" s="775">
        <f t="shared" si="14"/>
        <v>104</v>
      </c>
      <c r="X32" s="1813"/>
      <c r="Y32" s="3348" t="s">
        <v>2560</v>
      </c>
      <c r="Z32" s="1814" t="str">
        <f t="shared" si="18"/>
        <v>建筑类型</v>
      </c>
      <c r="AA32" s="1811">
        <f t="shared" si="15"/>
        <v>0.970873786407767</v>
      </c>
      <c r="AB32" s="1811">
        <f t="shared" si="16"/>
        <v>1</v>
      </c>
      <c r="AC32" s="1811">
        <f t="shared" si="17"/>
        <v>0.96153846153846156</v>
      </c>
    </row>
    <row r="33" spans="1:29" s="471" customFormat="1" ht="15">
      <c r="A33" s="468"/>
      <c r="B33" s="422" t="s">
        <v>2561</v>
      </c>
      <c r="C33" s="469">
        <v>220</v>
      </c>
      <c r="D33" s="136">
        <v>100</v>
      </c>
      <c r="E33" s="430">
        <v>351</v>
      </c>
      <c r="F33" s="425">
        <f>LOOKUP(E33,103:103,104:104)-LOOKUP(C33,103:103,104:104)+100</f>
        <v>101</v>
      </c>
      <c r="G33" s="429">
        <v>215</v>
      </c>
      <c r="H33" s="136">
        <f>LOOKUP(G33,103:103,104:104)-LOOKUP(C33,103:103,104:104)+100</f>
        <v>100</v>
      </c>
      <c r="I33" s="430">
        <v>691</v>
      </c>
      <c r="J33" s="136">
        <f>LOOKUP(I33,103:103,104:104)-LOOKUP(C33,103:103,104:104)+100</f>
        <v>102</v>
      </c>
      <c r="K33" s="2598"/>
      <c r="L33" s="1138"/>
      <c r="M33" s="1141"/>
      <c r="N33" s="1141"/>
      <c r="O33" s="1141"/>
      <c r="P33" s="3391"/>
      <c r="Q33" s="776" t="str">
        <f t="shared" si="11"/>
        <v>项目建筑规模</v>
      </c>
      <c r="R33" s="777" t="s">
        <v>21</v>
      </c>
      <c r="S33" s="778">
        <f t="shared" si="12"/>
        <v>101</v>
      </c>
      <c r="T33" s="777" t="s">
        <v>21</v>
      </c>
      <c r="U33" s="778">
        <f t="shared" si="13"/>
        <v>100</v>
      </c>
      <c r="V33" s="777" t="s">
        <v>21</v>
      </c>
      <c r="W33" s="778">
        <f t="shared" si="14"/>
        <v>102</v>
      </c>
      <c r="X33" s="779"/>
      <c r="Y33" s="3348"/>
      <c r="Z33" s="780" t="str">
        <f t="shared" si="18"/>
        <v>项目建筑规模</v>
      </c>
      <c r="AA33" s="1811">
        <f t="shared" si="15"/>
        <v>0.99009900990099009</v>
      </c>
      <c r="AB33" s="1811">
        <f t="shared" si="16"/>
        <v>1</v>
      </c>
      <c r="AC33" s="1811">
        <f t="shared" si="17"/>
        <v>0.98039215686274506</v>
      </c>
    </row>
    <row r="34" spans="1:29" ht="15">
      <c r="A34" s="472"/>
      <c r="B34" s="422" t="s">
        <v>2562</v>
      </c>
      <c r="C34" s="2616" t="s">
        <v>3169</v>
      </c>
      <c r="D34" s="435">
        <v>100</v>
      </c>
      <c r="E34" s="2616" t="s">
        <v>3169</v>
      </c>
      <c r="F34" s="461">
        <f>SUMIF(105:105,E34,106:106)-SUMIF(105:105,C34,106:106)+100</f>
        <v>100</v>
      </c>
      <c r="G34" s="2616" t="s">
        <v>3169</v>
      </c>
      <c r="H34" s="435">
        <f>SUMIF(105:105,G34,106:106)-SUMIF(105:105,C34,106:106)+100</f>
        <v>100</v>
      </c>
      <c r="I34" s="2616" t="s">
        <v>3169</v>
      </c>
      <c r="J34" s="435">
        <f>SUMIF(105:105,I34,106:106)-SUMIF(105:105,C34,106:106)+100</f>
        <v>100</v>
      </c>
      <c r="K34" s="426"/>
      <c r="L34" s="1140"/>
      <c r="M34" s="1131"/>
      <c r="N34" s="1131"/>
      <c r="O34" s="1131"/>
      <c r="P34" s="3391"/>
      <c r="Q34" s="1810" t="str">
        <f t="shared" si="11"/>
        <v>建筑结构</v>
      </c>
      <c r="R34" s="774" t="s">
        <v>21</v>
      </c>
      <c r="S34" s="775">
        <f t="shared" si="12"/>
        <v>100</v>
      </c>
      <c r="T34" s="774" t="s">
        <v>21</v>
      </c>
      <c r="U34" s="775">
        <f t="shared" si="13"/>
        <v>100</v>
      </c>
      <c r="V34" s="774" t="s">
        <v>21</v>
      </c>
      <c r="W34" s="775">
        <f t="shared" si="14"/>
        <v>100</v>
      </c>
      <c r="X34" s="1813"/>
      <c r="Y34" s="3348"/>
      <c r="Z34" s="1814" t="str">
        <f t="shared" si="18"/>
        <v>建筑结构</v>
      </c>
      <c r="AA34" s="1811">
        <f t="shared" si="15"/>
        <v>1</v>
      </c>
      <c r="AB34" s="1811">
        <f t="shared" si="16"/>
        <v>1</v>
      </c>
      <c r="AC34" s="1811">
        <f t="shared" si="17"/>
        <v>1</v>
      </c>
    </row>
    <row r="35" spans="1:29" ht="15">
      <c r="A35" s="472"/>
      <c r="B35" s="422" t="s">
        <v>2563</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391"/>
      <c r="Q35" s="1810" t="str">
        <f t="shared" si="11"/>
        <v>建筑品质</v>
      </c>
      <c r="R35" s="774" t="s">
        <v>21</v>
      </c>
      <c r="S35" s="775">
        <f t="shared" si="12"/>
        <v>100</v>
      </c>
      <c r="T35" s="774" t="s">
        <v>21</v>
      </c>
      <c r="U35" s="775">
        <f t="shared" si="13"/>
        <v>100</v>
      </c>
      <c r="V35" s="774" t="s">
        <v>21</v>
      </c>
      <c r="W35" s="775">
        <f t="shared" si="14"/>
        <v>100</v>
      </c>
      <c r="X35" s="1813"/>
      <c r="Y35" s="3348"/>
      <c r="Z35" s="1814" t="str">
        <f t="shared" si="18"/>
        <v>建筑品质</v>
      </c>
      <c r="AA35" s="1811">
        <f t="shared" si="15"/>
        <v>1</v>
      </c>
      <c r="AB35" s="1811">
        <f t="shared" si="16"/>
        <v>1</v>
      </c>
      <c r="AC35" s="1811">
        <f t="shared" si="17"/>
        <v>1</v>
      </c>
    </row>
    <row r="36" spans="1:29" ht="15">
      <c r="A36" s="472"/>
      <c r="B36" s="422" t="s">
        <v>2564</v>
      </c>
      <c r="C36" s="2610" t="s">
        <v>3217</v>
      </c>
      <c r="D36" s="435">
        <v>100</v>
      </c>
      <c r="E36" s="2610" t="s">
        <v>3217</v>
      </c>
      <c r="F36" s="461">
        <f>SUMIF(109:109,E36,110:110)-SUMIF(109:109,C36,110:110)+100</f>
        <v>100</v>
      </c>
      <c r="G36" s="2610" t="s">
        <v>3217</v>
      </c>
      <c r="H36" s="435">
        <f>SUMIF(109:109,G36,110:110)-SUMIF(109:109,C36,110:110)+100</f>
        <v>100</v>
      </c>
      <c r="I36" s="2610" t="s">
        <v>3217</v>
      </c>
      <c r="J36" s="435">
        <f>SUMIF(109:109,I36,110:110)-SUMIF(109:109,C36,110:110)+100</f>
        <v>100</v>
      </c>
      <c r="K36" s="426"/>
      <c r="L36" s="1140"/>
      <c r="M36" s="1131"/>
      <c r="N36" s="1131"/>
      <c r="O36" s="1131"/>
      <c r="P36" s="3391"/>
      <c r="Q36" s="1810" t="str">
        <f t="shared" si="11"/>
        <v>公共部分装修</v>
      </c>
      <c r="R36" s="774" t="s">
        <v>21</v>
      </c>
      <c r="S36" s="775">
        <f t="shared" si="12"/>
        <v>100</v>
      </c>
      <c r="T36" s="774" t="s">
        <v>21</v>
      </c>
      <c r="U36" s="775">
        <f t="shared" si="13"/>
        <v>100</v>
      </c>
      <c r="V36" s="774" t="s">
        <v>21</v>
      </c>
      <c r="W36" s="775">
        <f t="shared" si="14"/>
        <v>100</v>
      </c>
      <c r="X36" s="1813"/>
      <c r="Y36" s="3348"/>
      <c r="Z36" s="1814" t="str">
        <f t="shared" si="18"/>
        <v>公共部分装修</v>
      </c>
      <c r="AA36" s="1811">
        <f t="shared" si="15"/>
        <v>1</v>
      </c>
      <c r="AB36" s="1811">
        <f t="shared" si="16"/>
        <v>1</v>
      </c>
      <c r="AC36" s="1811">
        <f t="shared" si="17"/>
        <v>1</v>
      </c>
    </row>
    <row r="37" spans="1:29" s="117" customFormat="1" ht="15">
      <c r="A37" s="473"/>
      <c r="B37" s="422" t="s">
        <v>2565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32"/>
      <c r="M37" s="1133"/>
      <c r="N37" s="1133"/>
      <c r="O37" s="1133"/>
      <c r="P37" s="3391"/>
      <c r="Q37" s="1795" t="str">
        <f t="shared" si="11"/>
        <v>成新度</v>
      </c>
      <c r="R37" s="770" t="s">
        <v>21</v>
      </c>
      <c r="S37" s="771">
        <f t="shared" si="12"/>
        <v>100</v>
      </c>
      <c r="T37" s="770" t="s">
        <v>21</v>
      </c>
      <c r="U37" s="771">
        <f t="shared" si="13"/>
        <v>100</v>
      </c>
      <c r="V37" s="770" t="s">
        <v>21</v>
      </c>
      <c r="W37" s="771">
        <f t="shared" si="14"/>
        <v>100</v>
      </c>
      <c r="X37" s="772"/>
      <c r="Y37" s="3348"/>
      <c r="Z37" s="55" t="str">
        <f t="shared" si="18"/>
        <v>成新度</v>
      </c>
      <c r="AA37" s="773">
        <f t="shared" si="15"/>
        <v>1</v>
      </c>
      <c r="AB37" s="773">
        <f t="shared" si="16"/>
        <v>1</v>
      </c>
      <c r="AC37" s="773">
        <f t="shared" si="17"/>
        <v>1</v>
      </c>
    </row>
    <row r="38" spans="1:29" ht="15">
      <c r="A38" s="472"/>
      <c r="B38" s="422" t="s">
        <v>2566</v>
      </c>
      <c r="C38" s="2610" t="s">
        <v>3218</v>
      </c>
      <c r="D38" s="435">
        <v>100</v>
      </c>
      <c r="E38" s="2610" t="s">
        <v>3218</v>
      </c>
      <c r="F38" s="461">
        <f>SUMIF(114:114,E38,115:115)-SUMIF(114:114,C38,115:115)+100</f>
        <v>100</v>
      </c>
      <c r="G38" s="2610" t="s">
        <v>3218</v>
      </c>
      <c r="H38" s="435">
        <f>SUMIF(114:114,G38,115:115)-SUMIF(114:114,C38,115:115)+100</f>
        <v>100</v>
      </c>
      <c r="I38" s="2610" t="s">
        <v>3218</v>
      </c>
      <c r="J38" s="435">
        <f>SUMIF(114:114,I38,115:115)-SUMIF(114:114,C38,115:115)+100</f>
        <v>100</v>
      </c>
      <c r="K38" s="426"/>
      <c r="L38" s="1140"/>
      <c r="M38" s="1131"/>
      <c r="N38" s="1131"/>
      <c r="O38" s="1131"/>
      <c r="P38" s="3391" t="s">
        <v>2560</v>
      </c>
      <c r="Q38" s="1810" t="str">
        <f t="shared" si="11"/>
        <v>物业管理</v>
      </c>
      <c r="R38" s="774" t="s">
        <v>21</v>
      </c>
      <c r="S38" s="775">
        <f t="shared" si="12"/>
        <v>100</v>
      </c>
      <c r="T38" s="774" t="s">
        <v>21</v>
      </c>
      <c r="U38" s="775">
        <f t="shared" si="13"/>
        <v>100</v>
      </c>
      <c r="V38" s="774" t="s">
        <v>21</v>
      </c>
      <c r="W38" s="775">
        <f t="shared" si="14"/>
        <v>100</v>
      </c>
      <c r="X38" s="1813"/>
      <c r="Y38" s="3348" t="s">
        <v>2560</v>
      </c>
      <c r="Z38" s="1814" t="str">
        <f t="shared" si="18"/>
        <v>物业管理</v>
      </c>
      <c r="AA38" s="1811">
        <f t="shared" si="15"/>
        <v>1</v>
      </c>
      <c r="AB38" s="1811">
        <f t="shared" si="16"/>
        <v>1</v>
      </c>
      <c r="AC38" s="1811">
        <f t="shared" si="17"/>
        <v>1</v>
      </c>
    </row>
    <row r="39" spans="1:29" ht="15">
      <c r="A39" s="472"/>
      <c r="B39" s="422" t="s">
        <v>2567</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391"/>
      <c r="Q39" s="1810" t="str">
        <f t="shared" si="11"/>
        <v>市政基础设施</v>
      </c>
      <c r="R39" s="774" t="s">
        <v>21</v>
      </c>
      <c r="S39" s="775">
        <f t="shared" si="12"/>
        <v>100</v>
      </c>
      <c r="T39" s="774" t="s">
        <v>21</v>
      </c>
      <c r="U39" s="775">
        <f t="shared" si="13"/>
        <v>100</v>
      </c>
      <c r="V39" s="774" t="s">
        <v>21</v>
      </c>
      <c r="W39" s="775">
        <f t="shared" si="14"/>
        <v>100</v>
      </c>
      <c r="X39" s="1813"/>
      <c r="Y39" s="3348"/>
      <c r="Z39" s="1814" t="str">
        <f t="shared" si="18"/>
        <v>市政基础设施</v>
      </c>
      <c r="AA39" s="1811">
        <f t="shared" si="15"/>
        <v>1</v>
      </c>
      <c r="AB39" s="1811">
        <f t="shared" si="16"/>
        <v>1</v>
      </c>
      <c r="AC39" s="1811">
        <f t="shared" si="17"/>
        <v>1</v>
      </c>
    </row>
    <row r="40" spans="1:29" ht="15">
      <c r="A40" s="472"/>
      <c r="B40" s="422" t="s">
        <v>2568</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91"/>
      <c r="Q40" s="1810" t="str">
        <f t="shared" si="11"/>
        <v>房型</v>
      </c>
      <c r="R40" s="774" t="s">
        <v>21</v>
      </c>
      <c r="S40" s="775">
        <f t="shared" si="12"/>
        <v>100</v>
      </c>
      <c r="T40" s="774" t="s">
        <v>21</v>
      </c>
      <c r="U40" s="775">
        <f t="shared" si="13"/>
        <v>100</v>
      </c>
      <c r="V40" s="774" t="s">
        <v>21</v>
      </c>
      <c r="W40" s="775">
        <f t="shared" si="14"/>
        <v>100</v>
      </c>
      <c r="X40" s="1813"/>
      <c r="Y40" s="3348"/>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391"/>
      <c r="Q41" s="776" t="str">
        <f t="shared" si="11"/>
        <v>单套/主力户型建筑面积</v>
      </c>
      <c r="R41" s="777" t="s">
        <v>21</v>
      </c>
      <c r="S41" s="778">
        <f t="shared" si="12"/>
        <v>100</v>
      </c>
      <c r="T41" s="777" t="s">
        <v>21</v>
      </c>
      <c r="U41" s="778">
        <f t="shared" si="13"/>
        <v>100</v>
      </c>
      <c r="V41" s="777" t="s">
        <v>21</v>
      </c>
      <c r="W41" s="778">
        <f t="shared" si="14"/>
        <v>100</v>
      </c>
      <c r="X41" s="779"/>
      <c r="Y41" s="3348"/>
      <c r="Z41" s="780" t="str">
        <f t="shared" si="18"/>
        <v>单套/主力户型建筑面积</v>
      </c>
      <c r="AA41" s="1811">
        <f t="shared" si="15"/>
        <v>1</v>
      </c>
      <c r="AB41" s="1811">
        <f t="shared" si="16"/>
        <v>1</v>
      </c>
      <c r="AC41" s="1811">
        <f t="shared" si="17"/>
        <v>1</v>
      </c>
    </row>
    <row r="42" spans="1:29" ht="15">
      <c r="A42" s="472"/>
      <c r="B42" s="422" t="s">
        <v>2570</v>
      </c>
      <c r="C42" s="2610" t="s">
        <v>3216</v>
      </c>
      <c r="D42" s="435">
        <v>100</v>
      </c>
      <c r="E42" s="2610" t="s">
        <v>3216</v>
      </c>
      <c r="F42" s="461">
        <f>SUMIF(122:122,E42,123:123)-SUMIF(122:122,C42,123:123)+100</f>
        <v>100</v>
      </c>
      <c r="G42" s="2610" t="s">
        <v>3216</v>
      </c>
      <c r="H42" s="435">
        <f>SUMIF(122:122,G42,123:123)-SUMIF(122:122,C42,123:123)+100</f>
        <v>100</v>
      </c>
      <c r="I42" s="2610" t="s">
        <v>3216</v>
      </c>
      <c r="J42" s="435">
        <f>SUMIF(122:122,I42,123:123)-SUMIF(122:122,C42,123:123)+100</f>
        <v>100</v>
      </c>
      <c r="K42" s="426"/>
      <c r="L42" s="1140"/>
      <c r="M42" s="1131"/>
      <c r="N42" s="1131"/>
      <c r="O42" s="1131"/>
      <c r="P42" s="3391"/>
      <c r="Q42" s="1810" t="str">
        <f t="shared" si="11"/>
        <v>内部装修</v>
      </c>
      <c r="R42" s="774" t="s">
        <v>21</v>
      </c>
      <c r="S42" s="775">
        <f t="shared" si="12"/>
        <v>100</v>
      </c>
      <c r="T42" s="774" t="s">
        <v>21</v>
      </c>
      <c r="U42" s="775">
        <f t="shared" si="13"/>
        <v>100</v>
      </c>
      <c r="V42" s="774" t="s">
        <v>21</v>
      </c>
      <c r="W42" s="775">
        <f t="shared" si="14"/>
        <v>100</v>
      </c>
      <c r="X42" s="1813"/>
      <c r="Y42" s="3348"/>
      <c r="Z42" s="1814" t="str">
        <f t="shared" si="18"/>
        <v>内部装修</v>
      </c>
      <c r="AA42" s="1811">
        <f t="shared" si="15"/>
        <v>1</v>
      </c>
      <c r="AB42" s="1811">
        <f t="shared" si="16"/>
        <v>1</v>
      </c>
      <c r="AC42" s="1811">
        <f t="shared" si="17"/>
        <v>1</v>
      </c>
    </row>
    <row r="43" spans="1:29" ht="15">
      <c r="A43" s="472"/>
      <c r="B43" s="422" t="s">
        <v>2571</v>
      </c>
      <c r="C43" s="2610" t="s">
        <v>3189</v>
      </c>
      <c r="D43" s="435">
        <v>100</v>
      </c>
      <c r="E43" s="2610" t="s">
        <v>3189</v>
      </c>
      <c r="F43" s="461">
        <f>SUMIF(124:124,E43,125:125)-SUMIF(124:124,C43,125:125)+100</f>
        <v>100</v>
      </c>
      <c r="G43" s="2610" t="s">
        <v>3189</v>
      </c>
      <c r="H43" s="435">
        <f>SUMIF(124:124,G43,125:125)-SUMIF(124:124,C43,125:125)+100</f>
        <v>100</v>
      </c>
      <c r="I43" s="2610" t="s">
        <v>3189</v>
      </c>
      <c r="J43" s="435">
        <f>SUMIF(124:124,I43,125:125)-SUMIF(124:124,C43,125:125)+100</f>
        <v>100</v>
      </c>
      <c r="K43" s="426"/>
      <c r="L43" s="1140"/>
      <c r="M43" s="1131"/>
      <c r="N43" s="1131"/>
      <c r="O43" s="1131"/>
      <c r="P43" s="3391"/>
      <c r="Q43" s="1810" t="str">
        <f t="shared" si="11"/>
        <v>内部装修维护情况</v>
      </c>
      <c r="R43" s="774" t="s">
        <v>21</v>
      </c>
      <c r="S43" s="775">
        <f t="shared" si="12"/>
        <v>100</v>
      </c>
      <c r="T43" s="774" t="s">
        <v>21</v>
      </c>
      <c r="U43" s="775">
        <f t="shared" si="13"/>
        <v>100</v>
      </c>
      <c r="V43" s="774" t="s">
        <v>21</v>
      </c>
      <c r="W43" s="775">
        <f t="shared" si="14"/>
        <v>100</v>
      </c>
      <c r="X43" s="1813"/>
      <c r="Y43" s="3348"/>
      <c r="Z43" s="1814" t="str">
        <f t="shared" si="18"/>
        <v>内部装修维护情况</v>
      </c>
      <c r="AA43" s="1811">
        <f t="shared" si="15"/>
        <v>1</v>
      </c>
      <c r="AB43" s="1811">
        <f t="shared" si="16"/>
        <v>1</v>
      </c>
      <c r="AC43" s="1811">
        <f t="shared" si="17"/>
        <v>1</v>
      </c>
    </row>
    <row r="44" spans="1:29" s="117" customFormat="1" ht="15">
      <c r="A44" s="473"/>
      <c r="B44" s="2992" t="s">
        <v>3365</v>
      </c>
      <c r="C44" s="2993" t="s">
        <v>3358</v>
      </c>
      <c r="D44" s="136">
        <v>100</v>
      </c>
      <c r="E44" s="2993" t="s">
        <v>3359</v>
      </c>
      <c r="F44" s="425">
        <f>SUMIF(126:126,E44,127:127)-SUMIF(126:126,C44,127:127)+100</f>
        <v>90</v>
      </c>
      <c r="G44" s="2993" t="s">
        <v>3359</v>
      </c>
      <c r="H44" s="136">
        <f>SUMIF(126:126,G44,127:127)-SUMIF(126:126,C44,127:127)+100</f>
        <v>90</v>
      </c>
      <c r="I44" s="2993" t="s">
        <v>3359</v>
      </c>
      <c r="J44" s="136">
        <f>SUMIF(126:126,I44,127:127)-SUMIF(126:126,C44,127:127)+100</f>
        <v>90</v>
      </c>
      <c r="K44" s="2598"/>
      <c r="L44" s="1132"/>
      <c r="M44" s="1133"/>
      <c r="N44" s="1133"/>
      <c r="O44" s="1133"/>
      <c r="P44" s="3391"/>
      <c r="Q44" s="1795" t="str">
        <f t="shared" si="11"/>
        <v>单价是否含车库</v>
      </c>
      <c r="R44" s="770" t="s">
        <v>21</v>
      </c>
      <c r="S44" s="771">
        <f t="shared" si="12"/>
        <v>90</v>
      </c>
      <c r="T44" s="770" t="s">
        <v>21</v>
      </c>
      <c r="U44" s="771">
        <f t="shared" si="13"/>
        <v>90</v>
      </c>
      <c r="V44" s="770" t="s">
        <v>21</v>
      </c>
      <c r="W44" s="771">
        <f t="shared" si="14"/>
        <v>90</v>
      </c>
      <c r="X44" s="772"/>
      <c r="Y44" s="3348"/>
      <c r="Z44" s="55" t="str">
        <f t="shared" si="18"/>
        <v>单价是否含车库</v>
      </c>
      <c r="AA44" s="773">
        <f t="shared" si="15"/>
        <v>1.1111111111111112</v>
      </c>
      <c r="AB44" s="773">
        <f t="shared" si="16"/>
        <v>1.1111111111111112</v>
      </c>
      <c r="AC44" s="773">
        <f t="shared" si="17"/>
        <v>1.1111111111111112</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91"/>
      <c r="Q45" s="1810">
        <f t="shared" si="11"/>
        <v>111</v>
      </c>
      <c r="R45" s="774" t="s">
        <v>21</v>
      </c>
      <c r="S45" s="775">
        <f t="shared" si="12"/>
        <v>100</v>
      </c>
      <c r="T45" s="774" t="s">
        <v>21</v>
      </c>
      <c r="U45" s="775">
        <f t="shared" si="13"/>
        <v>100</v>
      </c>
      <c r="V45" s="774" t="s">
        <v>21</v>
      </c>
      <c r="W45" s="775">
        <f t="shared" si="14"/>
        <v>100</v>
      </c>
      <c r="X45" s="1813"/>
      <c r="Y45" s="3348"/>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92"/>
      <c r="Q46" s="1810">
        <f t="shared" si="11"/>
        <v>111</v>
      </c>
      <c r="R46" s="774" t="s">
        <v>20</v>
      </c>
      <c r="S46" s="775">
        <f t="shared" si="12"/>
        <v>100</v>
      </c>
      <c r="T46" s="774" t="s">
        <v>20</v>
      </c>
      <c r="U46" s="775">
        <f t="shared" si="13"/>
        <v>100</v>
      </c>
      <c r="V46" s="774" t="s">
        <v>20</v>
      </c>
      <c r="W46" s="775">
        <f t="shared" si="14"/>
        <v>100</v>
      </c>
      <c r="X46" s="1813"/>
      <c r="Y46" s="3393"/>
      <c r="Z46" s="1814">
        <f t="shared" si="18"/>
        <v>111</v>
      </c>
      <c r="AA46" s="1811">
        <f t="shared" si="15"/>
        <v>1</v>
      </c>
      <c r="AB46" s="1811">
        <f t="shared" si="16"/>
        <v>1</v>
      </c>
      <c r="AC46" s="1811">
        <f t="shared" si="17"/>
        <v>1</v>
      </c>
    </row>
    <row r="47" spans="1:29" ht="15">
      <c r="A47" s="479" t="s">
        <v>2572</v>
      </c>
      <c r="B47" s="480"/>
      <c r="C47" s="1407" t="s">
        <v>19</v>
      </c>
      <c r="D47" s="1408"/>
      <c r="E47" s="3012">
        <v>68376</v>
      </c>
      <c r="F47" s="1410"/>
      <c r="G47" s="3013">
        <v>60465</v>
      </c>
      <c r="H47" s="1412"/>
      <c r="I47" s="3012">
        <v>65123</v>
      </c>
      <c r="J47" s="1412"/>
      <c r="K47" s="2617"/>
      <c r="L47" s="1143"/>
      <c r="M47" s="1144"/>
      <c r="N47" s="1131"/>
      <c r="O47" s="1144"/>
      <c r="P47" s="3330" t="str">
        <f>A47</f>
        <v>成交单价（元/平方米）</v>
      </c>
      <c r="Q47" s="3330"/>
      <c r="R47" s="3389">
        <f>E47</f>
        <v>68376</v>
      </c>
      <c r="S47" s="3389"/>
      <c r="T47" s="3389">
        <f>G47</f>
        <v>60465</v>
      </c>
      <c r="U47" s="3389"/>
      <c r="V47" s="3389">
        <f>I47</f>
        <v>65123</v>
      </c>
      <c r="W47" s="3389"/>
      <c r="X47" s="759"/>
      <c r="Y47" s="781"/>
      <c r="Z47" s="759"/>
      <c r="AA47" s="759"/>
      <c r="AB47" s="759"/>
      <c r="AC47" s="759"/>
    </row>
    <row r="48" spans="1:29" ht="15.75" thickBot="1">
      <c r="A48" s="486" t="s">
        <v>2573</v>
      </c>
      <c r="B48" s="487"/>
      <c r="C48" s="1413">
        <f>R49</f>
        <v>68676</v>
      </c>
      <c r="D48" s="1414"/>
      <c r="E48" s="1415">
        <f>R48</f>
        <v>74588</v>
      </c>
      <c r="F48" s="1415"/>
      <c r="G48" s="1413">
        <f>T48</f>
        <v>65214</v>
      </c>
      <c r="H48" s="1414"/>
      <c r="I48" s="1415">
        <f>V48</f>
        <v>66225</v>
      </c>
      <c r="J48" s="1414"/>
      <c r="K48" s="2618"/>
      <c r="L48" s="1143"/>
      <c r="M48" s="1144"/>
      <c r="N48" s="1144"/>
      <c r="O48" s="1144"/>
      <c r="P48" s="3330" t="str">
        <f>A48</f>
        <v>比较价值（元/平方米）</v>
      </c>
      <c r="Q48" s="3330"/>
      <c r="R48" s="3389">
        <f>IF(F1="售价",ROUND(PRODUCT(R47,AA7:AA46),0),ROUND(PRODUCT(R47,AA7:AA46),1))</f>
        <v>74588</v>
      </c>
      <c r="S48" s="3389"/>
      <c r="T48" s="3389">
        <f>IF(F1="售价",ROUND(PRODUCT(T47,AB7:AB46),0),ROUND(PRODUCT(T47,AB7:AB46),1))</f>
        <v>65214</v>
      </c>
      <c r="U48" s="3389"/>
      <c r="V48" s="3389">
        <f>IF(F1="售价",ROUND(PRODUCT(V47,AC7:AC46),0),ROUND(PRODUCT(V47,AC7:AC46),1))</f>
        <v>66225</v>
      </c>
      <c r="W48" s="3389"/>
      <c r="X48" s="759"/>
      <c r="Y48" s="759"/>
      <c r="Z48" s="759"/>
      <c r="AA48" s="759"/>
      <c r="AB48" s="759"/>
      <c r="AC48" s="759"/>
    </row>
    <row r="49" spans="1:29" ht="15.75" thickBot="1">
      <c r="A49" s="492" t="s">
        <v>2574</v>
      </c>
      <c r="B49" s="493"/>
      <c r="C49" s="1416">
        <f>R49</f>
        <v>68676</v>
      </c>
      <c r="D49" s="1417"/>
      <c r="E49" s="1417"/>
      <c r="F49" s="1417"/>
      <c r="G49" s="1417"/>
      <c r="H49" s="1417"/>
      <c r="I49" s="1417"/>
      <c r="J49" s="1417"/>
      <c r="K49" s="2619"/>
      <c r="L49" s="1143"/>
      <c r="M49" s="1144"/>
      <c r="N49" s="1144"/>
      <c r="O49" s="1144"/>
      <c r="P49" s="3350" t="str">
        <f>A49</f>
        <v>估价对象XX用房的比较价值（楼面单价，元/平方米）</v>
      </c>
      <c r="Q49" s="3351"/>
      <c r="R49" s="3388">
        <f>IF(F1="售价",ROUND(AVERAGE(R48:V48),0),ROUND(AVERAGE(R48:V48),1))</f>
        <v>68676</v>
      </c>
      <c r="S49" s="3388"/>
      <c r="T49" s="3388"/>
      <c r="U49" s="3388"/>
      <c r="V49" s="3388"/>
      <c r="W49" s="33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9.0850590850590773E-2</v>
      </c>
      <c r="F52" s="500" t="str">
        <f>IF(OR(E52&gt;=0.3,E52&lt;=-0.3),"超过30%","")</f>
        <v/>
      </c>
      <c r="G52" s="499">
        <f>IF(G47&lt;G48,G48/G47-1,G47/G48-1)</f>
        <v>7.8541304887124852E-2</v>
      </c>
      <c r="H52" s="500" t="str">
        <f>IF(OR(G52&gt;=0.3,G52&lt;=-0.3),"超过30%","")</f>
        <v/>
      </c>
      <c r="I52" s="499">
        <f>IF(I47&lt;I48,I48/I47-1,I47/I48-1)</f>
        <v>1.6921824854505996E-2</v>
      </c>
      <c r="J52" s="500" t="str">
        <f>IF(OR(I52&gt;=0.3,I52&lt;=-0.3),"超过30%","")</f>
        <v/>
      </c>
      <c r="K52" s="1105"/>
      <c r="L52" s="1106"/>
      <c r="M52" s="1144"/>
      <c r="N52" s="1144"/>
      <c r="O52" s="1144"/>
    </row>
    <row r="53" spans="1:29" ht="13.5" customHeight="1">
      <c r="A53" s="1144"/>
      <c r="B53" s="1144"/>
      <c r="C53" s="497" t="s">
        <v>2576</v>
      </c>
      <c r="D53" s="501"/>
      <c r="E53" s="499">
        <f>IF(E48&lt;G48,G48/E48-1,E48/G48-1)</f>
        <v>0.14374214125801199</v>
      </c>
      <c r="F53" s="500" t="str">
        <f>IF(OR(E53&gt;=0.2,E53&lt;=-0.2),"超过20%","")</f>
        <v/>
      </c>
      <c r="G53" s="499">
        <f>IF(G48&lt;I48,I48/G48-1,G48/I48-1)</f>
        <v>1.5502806145919479E-2</v>
      </c>
      <c r="H53" s="500" t="str">
        <f>IF(OR(G53&gt;=0.2,G53&lt;=-0.2),"超过20%","")</f>
        <v/>
      </c>
      <c r="I53" s="499">
        <f>IF(I48&lt;E48,E48/I48-1,I48/E48-1)</f>
        <v>0.12628161570403917</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0.13083602083850154</v>
      </c>
      <c r="F54" s="500" t="str">
        <f>IF(OR(E54&gt;=0.3,E54&lt;=-0.3),"超过30%","")</f>
        <v/>
      </c>
      <c r="G54" s="499">
        <f>IF(G47&lt;I47,I47/G47-1,G47/I47-1)</f>
        <v>7.7036301992888356E-2</v>
      </c>
      <c r="H54" s="500" t="str">
        <f>IF(OR(G54&gt;=0.3,G54&lt;=-0.3),"超过30%","")</f>
        <v/>
      </c>
      <c r="I54" s="499">
        <f>IF(I47&lt;E47,E47/I47-1,I47/E47-1)</f>
        <v>4.9951629992475821E-2</v>
      </c>
      <c r="J54" s="500" t="str">
        <f>IF(OR(I54&gt;=0.3,I54&lt;=-0.3),"超过30%","")</f>
        <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2"/>
      <c r="Q57" s="504"/>
    </row>
    <row r="58" spans="1:29" s="508" customFormat="1" ht="15">
      <c r="A58" s="505" t="s">
        <v>2579</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住宅</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2"/>
      <c r="O68" s="1152"/>
      <c r="P68" s="262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2990" t="s">
        <v>3204</v>
      </c>
      <c r="D100" s="2990" t="s">
        <v>3205</v>
      </c>
      <c r="E100" s="2990" t="s">
        <v>3206</v>
      </c>
      <c r="F100" s="2990" t="s">
        <v>3207</v>
      </c>
      <c r="G100" s="2990" t="s">
        <v>3208</v>
      </c>
      <c r="H100" s="530"/>
      <c r="I100" s="530"/>
      <c r="J100" s="530"/>
      <c r="K100" s="531"/>
      <c r="L100" s="532"/>
      <c r="M100" s="533"/>
      <c r="N100" s="1152"/>
      <c r="O100" s="1152"/>
      <c r="P100" s="262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6"/>
      <c r="Q101" s="504"/>
    </row>
    <row r="102" spans="1:17" ht="15.75" thickTop="1">
      <c r="A102" s="534"/>
      <c r="B102" s="538" t="s">
        <v>2608</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v>0</v>
      </c>
      <c r="D103" s="595">
        <v>300</v>
      </c>
      <c r="E103" s="595">
        <v>600</v>
      </c>
      <c r="F103" s="595">
        <v>900</v>
      </c>
      <c r="G103" s="595"/>
      <c r="H103" s="595"/>
      <c r="I103" s="595"/>
      <c r="J103" s="596"/>
      <c r="K103" s="596"/>
      <c r="L103" s="597"/>
      <c r="M103" s="598"/>
      <c r="N103" s="1154"/>
      <c r="O103" s="1154"/>
      <c r="P103" s="262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3"/>
      <c r="O104" s="1153"/>
      <c r="P104" s="2627"/>
      <c r="Q104" s="559"/>
    </row>
    <row r="105" spans="1:17" ht="15" thickTop="1">
      <c r="A105" s="599"/>
      <c r="B105" s="538" t="s">
        <v>2609</v>
      </c>
      <c r="C105" s="2991" t="s">
        <v>3209</v>
      </c>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2991" t="s">
        <v>3210</v>
      </c>
      <c r="D109" s="2991" t="s">
        <v>3211</v>
      </c>
      <c r="E109" s="2991" t="s">
        <v>3212</v>
      </c>
      <c r="F109" s="583" t="s">
        <v>3213</v>
      </c>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2991" t="s">
        <v>3219</v>
      </c>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2991" t="s">
        <v>3210</v>
      </c>
      <c r="D122" s="2991" t="s">
        <v>3211</v>
      </c>
      <c r="E122" s="2991" t="s">
        <v>3212</v>
      </c>
      <c r="F122" s="583" t="s">
        <v>3213</v>
      </c>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t="str">
        <f>B44</f>
        <v>单价是否含车库</v>
      </c>
      <c r="C126" s="2991" t="s">
        <v>3214</v>
      </c>
      <c r="D126" s="2991" t="s">
        <v>3215</v>
      </c>
      <c r="E126" s="554"/>
      <c r="F126" s="554"/>
      <c r="G126" s="554"/>
      <c r="H126" s="555"/>
      <c r="I126" s="555"/>
      <c r="J126" s="555"/>
      <c r="K126" s="555"/>
      <c r="L126" s="556"/>
      <c r="M126" s="557"/>
      <c r="N126" s="1154"/>
      <c r="O126" s="1154"/>
      <c r="P126" s="2627"/>
      <c r="Q126" s="559"/>
    </row>
    <row r="127" spans="1:17" s="471" customFormat="1" ht="15.75" thickBot="1">
      <c r="A127" s="553"/>
      <c r="B127" s="543"/>
      <c r="C127" s="560">
        <v>100</v>
      </c>
      <c r="D127" s="536">
        <v>110</v>
      </c>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4">
        <v>6</v>
      </c>
      <c r="C139" s="1085">
        <v>96</v>
      </c>
      <c r="D139" s="2644" t="s">
        <v>2626</v>
      </c>
      <c r="E139" s="1086">
        <v>100</v>
      </c>
      <c r="F139" s="1087">
        <v>102.5</v>
      </c>
      <c r="G139" s="2644" t="s">
        <v>2626</v>
      </c>
      <c r="H139" s="1088">
        <v>105</v>
      </c>
      <c r="I139" s="2645" t="s">
        <v>2627</v>
      </c>
      <c r="J139" s="1085">
        <v>20</v>
      </c>
      <c r="K139" s="1089">
        <f>C145/(J139-2)</f>
        <v>4.0555555555555553E-3</v>
      </c>
    </row>
    <row r="140" spans="1:17" ht="15">
      <c r="B140" s="1090">
        <v>5</v>
      </c>
      <c r="C140" s="1091">
        <v>100</v>
      </c>
      <c r="D140" s="1091"/>
      <c r="E140" s="1092"/>
      <c r="F140" s="1093">
        <v>102</v>
      </c>
      <c r="G140" s="1091"/>
      <c r="H140" s="1094"/>
      <c r="I140" s="2646" t="s">
        <v>2628</v>
      </c>
      <c r="J140" s="315">
        <f>ROUNDUP((J139-1)/2,0)</f>
        <v>10</v>
      </c>
      <c r="K140" s="1095">
        <v>100</v>
      </c>
    </row>
    <row r="141" spans="1:17" ht="15">
      <c r="B141" s="1090">
        <v>4</v>
      </c>
      <c r="C141" s="1091">
        <v>102</v>
      </c>
      <c r="D141" s="1091"/>
      <c r="E141" s="1092"/>
      <c r="F141" s="1093">
        <v>101.5</v>
      </c>
      <c r="G141" s="1091"/>
      <c r="H141" s="1094"/>
      <c r="I141" s="2646" t="s">
        <v>2629</v>
      </c>
      <c r="J141" s="315">
        <v>1</v>
      </c>
      <c r="K141" s="1096">
        <f>ROUND(100+(J141-J140)*K139*100,1)</f>
        <v>96.4</v>
      </c>
    </row>
    <row r="142" spans="1:17" ht="15">
      <c r="B142" s="1090">
        <v>3</v>
      </c>
      <c r="C142" s="1091">
        <v>103</v>
      </c>
      <c r="D142" s="1091"/>
      <c r="E142" s="1092"/>
      <c r="F142" s="1093">
        <v>101</v>
      </c>
      <c r="G142" s="1091"/>
      <c r="H142" s="1094"/>
      <c r="I142" s="2646" t="s">
        <v>2630</v>
      </c>
      <c r="J142" s="315">
        <f>J139</f>
        <v>20</v>
      </c>
      <c r="K142" s="1097">
        <v>95</v>
      </c>
    </row>
    <row r="143" spans="1:17" ht="15">
      <c r="B143" s="1090">
        <v>2</v>
      </c>
      <c r="C143" s="1091">
        <v>100</v>
      </c>
      <c r="D143" s="1091"/>
      <c r="E143" s="1092"/>
      <c r="F143" s="1093">
        <v>100.5</v>
      </c>
      <c r="G143" s="1091"/>
      <c r="H143" s="1094"/>
      <c r="I143" s="2646" t="s">
        <v>2631</v>
      </c>
      <c r="J143" s="1091">
        <v>15</v>
      </c>
      <c r="K143" s="1096">
        <f>ROUND(100+(J143-J140)*K139*100,1)</f>
        <v>102</v>
      </c>
    </row>
    <row r="144" spans="1:17" ht="15">
      <c r="B144" s="1090">
        <v>1</v>
      </c>
      <c r="C144" s="1091">
        <v>98</v>
      </c>
      <c r="D144" s="2647" t="s">
        <v>2632</v>
      </c>
      <c r="E144" s="1092">
        <v>102</v>
      </c>
      <c r="F144" s="1098">
        <v>100</v>
      </c>
      <c r="G144" s="2647" t="s">
        <v>2632</v>
      </c>
      <c r="H144" s="1094">
        <v>105</v>
      </c>
      <c r="I144" s="2646" t="s">
        <v>2631</v>
      </c>
      <c r="J144" s="1091">
        <v>18</v>
      </c>
      <c r="K144" s="1096">
        <f>ROUND(100+(J144-J140)*K139*100,1)</f>
        <v>103.2</v>
      </c>
    </row>
    <row r="145" spans="2:11" ht="15.75" thickBot="1">
      <c r="B145" s="2648" t="s">
        <v>2633</v>
      </c>
      <c r="C145" s="1099">
        <f>ROUND(MAX(C139:C144)/MIN(C139:C144)-1,3)</f>
        <v>7.2999999999999995E-2</v>
      </c>
      <c r="D145" s="1100"/>
      <c r="E145" s="1100"/>
      <c r="F145" s="2649" t="s">
        <v>2634</v>
      </c>
      <c r="G145" s="2650"/>
      <c r="H145" s="2651"/>
      <c r="I145" s="2652" t="s">
        <v>2631</v>
      </c>
      <c r="J145" s="1101">
        <v>8</v>
      </c>
      <c r="K145" s="1102">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3162</v>
      </c>
      <c r="D1" s="1820" t="s">
        <v>3168</v>
      </c>
      <c r="E1" s="1821" t="s">
        <v>1387</v>
      </c>
      <c r="F1" s="1283">
        <f ca="1">J53</f>
        <v>46.85</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6712</v>
      </c>
      <c r="C2" s="1845" t="s">
        <v>1517</v>
      </c>
      <c r="D2" s="1845"/>
      <c r="E2" s="1846"/>
      <c r="F2" s="1847"/>
      <c r="G2" s="1848"/>
      <c r="H2" s="1840"/>
      <c r="I2" s="1840"/>
      <c r="J2" s="1840"/>
      <c r="K2" s="1841"/>
      <c r="L2" s="1840"/>
      <c r="M2" s="1840"/>
    </row>
    <row r="3" spans="1:37" ht="18" customHeight="1" thickBot="1">
      <c r="A3" s="1849" t="s">
        <v>1518</v>
      </c>
      <c r="B3" s="1850">
        <f ca="1">IF(ISERROR(B2*10000/F43),0,ROUND(B2*10000/F43,0))</f>
        <v>8652</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331</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331</v>
      </c>
      <c r="D6" s="164" t="s">
        <v>3028</v>
      </c>
      <c r="E6" s="347" t="s">
        <v>1405</v>
      </c>
      <c r="F6" s="348">
        <f ca="1">INDIRECT("'数据-取费表'!u"&amp;$G$1)</f>
        <v>1.3</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1298" t="s">
        <v>1406</v>
      </c>
      <c r="F7" s="348">
        <f ca="1">IF(INDIRECT("'数据-取费表'!ah"&amp;$G$1)="",INDIRECT("'数据-取费表'!k"&amp;$G$1),INDIRECT("'数据-取费表'!ah"&amp;$G$1))</f>
        <v>7758.13</v>
      </c>
      <c r="G7" s="1851"/>
      <c r="H7" s="349"/>
      <c r="I7" s="3399"/>
      <c r="J7" s="351"/>
      <c r="K7" s="352"/>
      <c r="L7" s="347" t="s">
        <v>1406</v>
      </c>
      <c r="M7" s="348">
        <f ca="1">F7</f>
        <v>7758.13</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0.1</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3029</v>
      </c>
      <c r="E10" s="358" t="s">
        <v>1411</v>
      </c>
      <c r="F10" s="1366"/>
      <c r="G10" s="1851"/>
      <c r="H10" s="1291" t="s">
        <v>1039</v>
      </c>
      <c r="I10" s="1823" t="s">
        <v>1409</v>
      </c>
      <c r="J10" s="346">
        <f ca="1">ROUND(IF(M10="押一",M6*M8*M7/12*M11,IF(M10="押二",M6*M8*M7/12*2*M11,IF(M10="押三",M6*M8*M7/12*3*M11,J11*M11)))/10000,0)</f>
        <v>0</v>
      </c>
      <c r="K10" s="1824" t="s">
        <v>3030</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1743</v>
      </c>
      <c r="D14" s="1800" t="s">
        <v>1419</v>
      </c>
      <c r="E14" s="1794"/>
      <c r="F14" s="364"/>
      <c r="G14" s="1851"/>
      <c r="H14" s="1201" t="s">
        <v>1035</v>
      </c>
      <c r="I14" s="347" t="s">
        <v>1420</v>
      </c>
      <c r="J14" s="24">
        <f ca="1">C29</f>
        <v>2562</v>
      </c>
      <c r="K14" s="15"/>
      <c r="L14" s="979"/>
      <c r="M14" s="980"/>
    </row>
    <row r="15" spans="1:37" s="1858" customFormat="1" ht="18" customHeight="1" thickBot="1">
      <c r="A15" s="1201" t="s">
        <v>1036</v>
      </c>
      <c r="B15" s="347" t="s">
        <v>1421</v>
      </c>
      <c r="C15" s="24">
        <f ca="1">ROUND(C14*F15,0)</f>
        <v>52</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60</v>
      </c>
      <c r="K16" s="1337" t="s">
        <v>1426</v>
      </c>
      <c r="L16" s="1338"/>
      <c r="M16" s="1294"/>
    </row>
    <row r="17" spans="1:37" s="1858" customFormat="1" ht="18" customHeight="1">
      <c r="A17" s="1201" t="s">
        <v>1390</v>
      </c>
      <c r="B17" s="347" t="s">
        <v>1427</v>
      </c>
      <c r="C17" s="24">
        <f ca="1">ROUND(F17*(F43+INDIRECT("'数据-取费表'!S"&amp;$G$1))/10000,0)</f>
        <v>159</v>
      </c>
      <c r="D17" s="347" t="s">
        <v>1428</v>
      </c>
      <c r="E17" s="347" t="s">
        <v>1429</v>
      </c>
      <c r="F17" s="26">
        <f>'数据-取费表'!B35</f>
        <v>200</v>
      </c>
      <c r="G17" s="1854"/>
      <c r="H17" s="1201" t="s">
        <v>1035</v>
      </c>
      <c r="I17" s="347" t="s">
        <v>1430</v>
      </c>
      <c r="J17" s="24">
        <f ca="1">ROUND(IF(项目基本情况!B11="自然人",J5*M17,J18+J19+J20),1)</f>
        <v>21.8</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26</v>
      </c>
      <c r="D18" s="347" t="s">
        <v>1422</v>
      </c>
      <c r="E18" s="347" t="s">
        <v>1423</v>
      </c>
      <c r="F18" s="367">
        <f>'数据-取费表'!B36</f>
        <v>1.4999999999999999E-2</v>
      </c>
      <c r="G18" s="1854"/>
      <c r="H18" s="1201" t="s">
        <v>1034</v>
      </c>
      <c r="I18" s="347" t="s">
        <v>1434</v>
      </c>
      <c r="J18" s="24">
        <f ca="1">ROUND(J5*M18/(1+'数据-取费表'!C42),2)</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1980</v>
      </c>
      <c r="D19" s="140" t="s">
        <v>1437</v>
      </c>
      <c r="E19" s="1818"/>
      <c r="F19" s="26"/>
      <c r="G19" s="1851"/>
      <c r="H19" s="1201" t="s">
        <v>1036</v>
      </c>
      <c r="I19" s="347" t="s">
        <v>1438</v>
      </c>
      <c r="J19" s="24">
        <f ca="1">IF(K19="按租金收入计税",ROUND(J5*M19,2),ROUND(C29*M19*0.7,2))</f>
        <v>21.52</v>
      </c>
      <c r="K19" s="1828" t="s">
        <v>1439</v>
      </c>
      <c r="L19" s="347" t="s">
        <v>1423</v>
      </c>
      <c r="M19" s="367">
        <f>IF(K19="按租金收入计税",'数据-取费表'!B51,'数据-取费表'!B50)</f>
        <v>1.2E-2</v>
      </c>
    </row>
    <row r="20" spans="1:37" s="1858" customFormat="1" ht="18" customHeight="1">
      <c r="A20" s="1201" t="s">
        <v>1039</v>
      </c>
      <c r="B20" s="347" t="s">
        <v>1440</v>
      </c>
      <c r="C20" s="24">
        <f ca="1">ROUND(C19*F20,0)</f>
        <v>40</v>
      </c>
      <c r="D20" s="369" t="s">
        <v>1441</v>
      </c>
      <c r="E20" s="347" t="s">
        <v>1423</v>
      </c>
      <c r="F20" s="367">
        <f>'数据-取费表'!B37</f>
        <v>0.02</v>
      </c>
      <c r="G20" s="1854"/>
      <c r="H20" s="1201" t="s">
        <v>1389</v>
      </c>
      <c r="I20" s="164" t="s">
        <v>1442</v>
      </c>
      <c r="J20" s="25">
        <f ca="1">ROUND(M20*M21/10000,2)</f>
        <v>0.32</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2112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ROUND(J14*M22,1)</f>
        <v>38.4</v>
      </c>
      <c r="K22" s="1798"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146</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1798"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ROUND(J5*M24,1)</f>
        <v>0</v>
      </c>
      <c r="K24" s="1342" t="s">
        <v>1460</v>
      </c>
      <c r="L24" s="1340" t="s">
        <v>1456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1818"/>
      <c r="F25" s="26"/>
      <c r="G25" s="1851"/>
      <c r="H25" s="1329" t="s">
        <v>1031</v>
      </c>
      <c r="I25" s="1344" t="s">
        <v>1464</v>
      </c>
      <c r="J25" s="355">
        <f ca="1">J5-J16</f>
        <v>-60</v>
      </c>
      <c r="K25" s="1345" t="s">
        <v>1465</v>
      </c>
      <c r="L25" s="1346"/>
      <c r="M25" s="1347"/>
    </row>
    <row r="26" spans="1:37">
      <c r="A26" s="1201" t="s">
        <v>1034</v>
      </c>
      <c r="B26" s="347" t="s">
        <v>1466</v>
      </c>
      <c r="C26" s="24">
        <f ca="1">ROUND((C19+C20)*F26,0)</f>
        <v>202</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2562</v>
      </c>
      <c r="D29" s="1342"/>
      <c r="E29" s="1340"/>
      <c r="F29" s="1343"/>
      <c r="G29" s="1854"/>
      <c r="H29" s="380" t="s">
        <v>1033</v>
      </c>
      <c r="I29" s="381" t="s">
        <v>1480</v>
      </c>
      <c r="J29" s="382">
        <f ca="1">ROUND(J26/(1+F40)^F41,0)</f>
        <v>0</v>
      </c>
      <c r="K29" s="383" t="s">
        <v>1481</v>
      </c>
      <c r="L29" s="384"/>
      <c r="M29" s="385">
        <f ca="1">INDIRECT("'数据-取费表'!k"&amp;$G$1)</f>
        <v>7758.13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83</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ROUND(IF(项目基本情况!B11="自然人",C5*F31,C32+C33+C34),1)</f>
        <v>39.200000000000003</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17.34</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21.52</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0.32</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2112</v>
      </c>
      <c r="G35" s="1851"/>
      <c r="H35" s="745"/>
      <c r="I35" s="1860"/>
      <c r="J35" s="1861"/>
      <c r="K35" s="1862"/>
      <c r="L35" s="1859"/>
      <c r="M35" s="1859"/>
    </row>
    <row r="36" spans="1:18" ht="18" customHeight="1">
      <c r="A36" s="1352" t="s">
        <v>1039</v>
      </c>
      <c r="B36" s="347" t="s">
        <v>1450</v>
      </c>
      <c r="C36" s="24">
        <f ca="1">ROUND(C29*F36,1)</f>
        <v>38.4</v>
      </c>
      <c r="D36" s="1798"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1798" t="s">
        <v>1455</v>
      </c>
      <c r="E37" s="347" t="s">
        <v>1456</v>
      </c>
      <c r="F37" s="376">
        <f ca="1">INDIRECT("'数据-取费表'!Al"&amp;$G$1)</f>
        <v>1.5E-3</v>
      </c>
      <c r="G37" s="1851"/>
      <c r="H37" s="1859"/>
      <c r="I37" s="1860"/>
      <c r="J37" s="1861"/>
      <c r="K37" s="751"/>
      <c r="L37" s="1859"/>
      <c r="M37" s="1859"/>
    </row>
    <row r="38" spans="1:18" ht="18" customHeight="1" thickBot="1">
      <c r="A38" s="1339" t="s">
        <v>1393</v>
      </c>
      <c r="B38" s="1340" t="s">
        <v>1440</v>
      </c>
      <c r="C38" s="1341">
        <f ca="1">ROUND(C5*F38,1)</f>
        <v>5</v>
      </c>
      <c r="D38" s="1342" t="s">
        <v>1460</v>
      </c>
      <c r="E38" s="1340" t="s">
        <v>1456</v>
      </c>
      <c r="F38" s="1336">
        <f ca="1">INDIRECT("'数据-取费表'!Am"&amp;$G$1)</f>
        <v>1.4999999999999999E-2</v>
      </c>
      <c r="G38" s="1851"/>
      <c r="H38" s="1859"/>
      <c r="I38" s="1860"/>
      <c r="J38" s="1861"/>
      <c r="K38" s="1865"/>
      <c r="L38" s="1859"/>
      <c r="M38" s="1859"/>
    </row>
    <row r="39" spans="1:18" ht="24.6" customHeight="1" thickTop="1">
      <c r="A39" s="1329" t="s">
        <v>1031</v>
      </c>
      <c r="B39" s="1344" t="s">
        <v>1484</v>
      </c>
      <c r="C39" s="355">
        <f ca="1">C5-C30</f>
        <v>248</v>
      </c>
      <c r="D39" s="1345" t="s">
        <v>1485</v>
      </c>
      <c r="E39" s="1346"/>
      <c r="F39" s="1347"/>
      <c r="G39" s="1851"/>
      <c r="H39" s="1859"/>
      <c r="I39" s="1860"/>
      <c r="J39" s="1861"/>
      <c r="K39" s="1865"/>
      <c r="L39" s="1859"/>
      <c r="M39" s="1859"/>
    </row>
    <row r="40" spans="1:18" ht="18" customHeight="1">
      <c r="A40" s="344" t="s">
        <v>1032</v>
      </c>
      <c r="B40" s="345" t="s">
        <v>1486</v>
      </c>
      <c r="C40" s="346">
        <f ca="1">ROUND(C39*(1-((1+F42)/(1+F40))^F41)/(F40-F42),0)</f>
        <v>6712</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8652</v>
      </c>
      <c r="D43" s="383" t="s">
        <v>1489</v>
      </c>
      <c r="E43" s="384" t="s">
        <v>1490</v>
      </c>
      <c r="F43" s="385">
        <f ca="1">INDIRECT("'数据-取费表'!k"&amp;$G$1)</f>
        <v>7758.13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-7790</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6712</v>
      </c>
      <c r="R47" s="1886" t="s">
        <v>1530</v>
      </c>
    </row>
    <row r="48" spans="1:18" s="1842" customFormat="1" ht="28.5" thickBot="1">
      <c r="A48" s="1360" t="s">
        <v>1135</v>
      </c>
      <c r="B48" s="345" t="s">
        <v>1401</v>
      </c>
      <c r="C48" s="1817">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3031</v>
      </c>
      <c r="E49" s="1830" t="s">
        <v>1492</v>
      </c>
      <c r="F49" s="1281"/>
      <c r="G49" s="1891"/>
      <c r="H49" s="793"/>
      <c r="I49" s="1887" t="s">
        <v>1535</v>
      </c>
      <c r="J49" s="1892">
        <v>2018</v>
      </c>
      <c r="K49" s="1889" t="s">
        <v>1536</v>
      </c>
      <c r="L49" s="1893"/>
      <c r="O49" s="1894" t="s">
        <v>1042</v>
      </c>
      <c r="P49" s="1885" t="s">
        <v>1537</v>
      </c>
      <c r="Q49" s="1886">
        <f ca="1">C29</f>
        <v>2562</v>
      </c>
      <c r="R49" s="1886" t="s">
        <v>1530</v>
      </c>
    </row>
    <row r="50" spans="1:18" s="1842" customFormat="1" ht="13.5" thickBot="1">
      <c r="A50" s="1195"/>
      <c r="B50" s="1198"/>
      <c r="C50" s="1368"/>
      <c r="D50" s="1172"/>
      <c r="E50" s="1277" t="s">
        <v>1406</v>
      </c>
      <c r="F50" s="1278">
        <f ca="1">F7</f>
        <v>7758.13</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5255</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3029</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6712</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6712</v>
      </c>
      <c r="R56" s="1886" t="s">
        <v>1530</v>
      </c>
    </row>
    <row r="57" spans="1:18" s="1842" customFormat="1" ht="24.75" thickBot="1">
      <c r="A57" s="1918"/>
      <c r="B57" s="1169" t="s">
        <v>1479</v>
      </c>
      <c r="C57" s="282">
        <f ca="1">C29</f>
        <v>2562</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60</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21.8</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IF(项目基本情况!B11="自然人","——",IF(D61="按租金收入计税",ROUND(C48*F61,2),IF(D61="按房产原值计税",ROUND(C57*F61*0.7,2),INDIRECT("'数据-取费表'!Aj"&amp;$G$1))))</f>
        <v>21.52</v>
      </c>
      <c r="D61" s="1828" t="s">
        <v>1439</v>
      </c>
      <c r="E61" s="1169" t="s">
        <v>1495</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IF(项目基本情况!B11="自然人","——",ROUND(F62*F63/10000,2))</f>
        <v>0.32</v>
      </c>
      <c r="D62" s="1184" t="s">
        <v>1498</v>
      </c>
      <c r="E62" s="1169" t="s">
        <v>1499</v>
      </c>
      <c r="F62" s="371">
        <f t="shared" si="0"/>
        <v>1.5</v>
      </c>
      <c r="I62" s="1929" t="s">
        <v>1571</v>
      </c>
      <c r="J62" s="1930" t="s">
        <v>1572</v>
      </c>
      <c r="K62" s="1930" t="s">
        <v>1573</v>
      </c>
      <c r="L62" s="1930" t="s">
        <v>1574</v>
      </c>
      <c r="M62" s="1931" t="s">
        <v>1575</v>
      </c>
      <c r="O62" s="1884" t="s">
        <v>1046</v>
      </c>
      <c r="P62" s="1885" t="s">
        <v>1576</v>
      </c>
      <c r="Q62" s="1886">
        <f ca="1">Q56+Q57</f>
        <v>6712</v>
      </c>
      <c r="R62" s="1886" t="s">
        <v>1047</v>
      </c>
    </row>
    <row r="63" spans="1:18" s="1842" customFormat="1" ht="13.5" thickBot="1">
      <c r="A63" s="372"/>
      <c r="B63" s="1175"/>
      <c r="C63" s="29"/>
      <c r="D63" s="1185"/>
      <c r="E63" s="1169" t="s">
        <v>1500</v>
      </c>
      <c r="F63" s="348">
        <f t="shared" ca="1" si="0"/>
        <v>2112</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ROUND(C57*F64,1)</f>
        <v>38.4</v>
      </c>
      <c r="D64" s="1183" t="s">
        <v>1503</v>
      </c>
      <c r="E64" s="1169"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1456</v>
      </c>
      <c r="F65" s="376">
        <f t="shared" ca="1" si="0"/>
        <v>1.5E-3</v>
      </c>
      <c r="I65" s="1929" t="s">
        <v>1580</v>
      </c>
      <c r="J65" s="1930">
        <v>40</v>
      </c>
      <c r="K65" s="1930">
        <v>30</v>
      </c>
      <c r="L65" s="1930">
        <v>50</v>
      </c>
      <c r="M65" s="1932">
        <v>0.02</v>
      </c>
      <c r="O65" s="1884" t="s">
        <v>1040</v>
      </c>
      <c r="P65" s="1885" t="s">
        <v>1581</v>
      </c>
      <c r="Q65" s="1886">
        <f ca="1">C40+J29</f>
        <v>6712</v>
      </c>
      <c r="R65" s="1886" t="s">
        <v>1530</v>
      </c>
    </row>
    <row r="66" spans="1:18" s="1842" customFormat="1" ht="16.5" thickBot="1">
      <c r="A66" s="1201" t="s">
        <v>1505</v>
      </c>
      <c r="B66" s="1169" t="s">
        <v>1440</v>
      </c>
      <c r="C66" s="24">
        <f ca="1">ROUND(C48*F66,1)</f>
        <v>0</v>
      </c>
      <c r="D66" s="1183" t="s">
        <v>1506</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-60</v>
      </c>
      <c r="D67" s="1182" t="s">
        <v>1465</v>
      </c>
      <c r="E67" s="1187"/>
      <c r="F67" s="1188"/>
      <c r="O67" s="1894" t="s">
        <v>1042</v>
      </c>
      <c r="P67" s="1885" t="s">
        <v>1563</v>
      </c>
      <c r="Q67" s="1933">
        <f ca="1">L51</f>
        <v>5255</v>
      </c>
      <c r="R67" s="1886" t="s">
        <v>1583</v>
      </c>
    </row>
    <row r="68" spans="1:18" s="1842" customFormat="1" ht="16.5" thickBot="1">
      <c r="A68" s="1166" t="s">
        <v>1032</v>
      </c>
      <c r="B68" s="1167" t="s">
        <v>1486</v>
      </c>
      <c r="C68" s="346">
        <f ca="1">ROUND(C67*(1-((1+F70)/(1+F68))^F69)/(F68-F70),0)</f>
        <v>-1078</v>
      </c>
      <c r="D68" s="1184" t="s">
        <v>1470</v>
      </c>
      <c r="E68" s="1169" t="s">
        <v>1471</v>
      </c>
      <c r="F68" s="357">
        <f ca="1">F40</f>
        <v>0.05</v>
      </c>
      <c r="O68" s="1894" t="s">
        <v>1043</v>
      </c>
      <c r="P68" s="1934" t="s">
        <v>1584</v>
      </c>
      <c r="Q68" s="1886">
        <f ca="1">ROUND(Q69-Q70*Q71,0)</f>
        <v>248</v>
      </c>
      <c r="R68" s="1886" t="s">
        <v>1051</v>
      </c>
    </row>
    <row r="69" spans="1:18" s="1842" customFormat="1" ht="13.5" thickBot="1">
      <c r="A69" s="1170"/>
      <c r="B69" s="1171"/>
      <c r="C69" s="351"/>
      <c r="D69" s="1189" t="s">
        <v>1474</v>
      </c>
      <c r="E69" s="1169" t="s">
        <v>1475</v>
      </c>
      <c r="F69" s="379">
        <f ca="1">F41</f>
        <v>46.85</v>
      </c>
      <c r="O69" s="1894" t="s">
        <v>1048</v>
      </c>
      <c r="P69" s="1934" t="s">
        <v>1585</v>
      </c>
      <c r="Q69" s="1886">
        <f ca="1">C39</f>
        <v>248</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-1390</v>
      </c>
      <c r="D71" s="1192" t="s">
        <v>1489</v>
      </c>
      <c r="E71" s="1193" t="s">
        <v>1490</v>
      </c>
      <c r="F71" s="385">
        <f ca="1">F43</f>
        <v>7758.13</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6712</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c r="D1" s="1820"/>
      <c r="E1" s="1821" t="s">
        <v>1387</v>
      </c>
      <c r="F1" s="1283" t="b">
        <f>J53</f>
        <v>0</v>
      </c>
      <c r="G1" s="1836">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4" t="s">
        <v>1589</v>
      </c>
      <c r="I3" s="1840"/>
      <c r="J3" s="1840"/>
      <c r="K3" s="1841"/>
      <c r="L3" s="1840"/>
      <c r="M3" s="1840"/>
    </row>
    <row r="4" spans="1:37" ht="18" customHeight="1">
      <c r="A4" s="340" t="s">
        <v>1596</v>
      </c>
      <c r="B4" s="341" t="s">
        <v>1597</v>
      </c>
      <c r="C4" s="341" t="s">
        <v>1598</v>
      </c>
      <c r="D4" s="341" t="s">
        <v>1599</v>
      </c>
      <c r="E4" s="342" t="s">
        <v>1600</v>
      </c>
      <c r="F4" s="343"/>
      <c r="G4" s="1851"/>
      <c r="H4" s="340" t="s">
        <v>1596</v>
      </c>
      <c r="I4" s="341" t="s">
        <v>1597</v>
      </c>
      <c r="J4" s="341" t="s">
        <v>1598</v>
      </c>
      <c r="K4" s="341" t="s">
        <v>1599</v>
      </c>
      <c r="L4" s="342" t="s">
        <v>1600</v>
      </c>
      <c r="M4" s="343"/>
    </row>
    <row r="5" spans="1:37" ht="18" customHeight="1">
      <c r="A5" s="344">
        <v>1</v>
      </c>
      <c r="B5" s="345" t="s">
        <v>1601</v>
      </c>
      <c r="C5" s="1292">
        <f ca="1">C6+C10+C12</f>
        <v>0</v>
      </c>
      <c r="D5" s="1822" t="s">
        <v>1602</v>
      </c>
      <c r="E5" s="1293"/>
      <c r="F5" s="1294"/>
      <c r="G5" s="1851"/>
      <c r="H5" s="344">
        <v>1</v>
      </c>
      <c r="I5" s="345" t="s">
        <v>1601</v>
      </c>
      <c r="J5" s="1292">
        <f ca="1">J6+J10+J12</f>
        <v>0</v>
      </c>
      <c r="K5" s="1822" t="s">
        <v>1602</v>
      </c>
      <c r="L5" s="1293"/>
      <c r="M5" s="1294"/>
    </row>
    <row r="6" spans="1:37" ht="18" customHeight="1">
      <c r="A6" s="1291" t="s">
        <v>1035</v>
      </c>
      <c r="B6" s="3398" t="s">
        <v>1403</v>
      </c>
      <c r="C6" s="1296">
        <f ca="1">ROUND(F6*F8*F7*(1-F9),0)</f>
        <v>0</v>
      </c>
      <c r="D6" s="164" t="s">
        <v>3023</v>
      </c>
      <c r="E6" s="347" t="s">
        <v>1405</v>
      </c>
      <c r="F6" s="348">
        <f ca="1">INDIRECT("'数据-取费表'!u"&amp;$G$1)</f>
        <v>0</v>
      </c>
      <c r="G6" s="1851"/>
      <c r="H6" s="1291" t="s">
        <v>1035</v>
      </c>
      <c r="I6" s="3398" t="s">
        <v>1403</v>
      </c>
      <c r="J6" s="346">
        <f ca="1">ROUND(M6*M8*M7*(1-M9),0)</f>
        <v>0</v>
      </c>
      <c r="K6" s="1834" t="s">
        <v>3026</v>
      </c>
      <c r="L6" s="347" t="s">
        <v>1405</v>
      </c>
      <c r="M6" s="348">
        <f ca="1">INDIRECT("'数据-取费表'!z"&amp;$G$1)</f>
        <v>0</v>
      </c>
    </row>
    <row r="7" spans="1:37" ht="18" customHeight="1">
      <c r="A7" s="1295"/>
      <c r="B7" s="3399"/>
      <c r="C7" s="1297"/>
      <c r="D7" s="352"/>
      <c r="E7" s="1298" t="s">
        <v>1406</v>
      </c>
      <c r="F7" s="348">
        <f ca="1">IF(INDIRECT("'数据-取费表'!ah"&amp;$G$1)="",INDIRECT("'数据-取费表'!k"&amp;$G$1),INDIRECT("'数据-取费表'!ah"&amp;$G$1))</f>
        <v>0</v>
      </c>
      <c r="G7" s="1851"/>
      <c r="H7" s="349"/>
      <c r="I7" s="3399"/>
      <c r="J7" s="351"/>
      <c r="K7" s="352"/>
      <c r="L7" s="347" t="s">
        <v>1406</v>
      </c>
      <c r="M7" s="348">
        <f ca="1">F7</f>
        <v>0</v>
      </c>
    </row>
    <row r="8" spans="1:37" ht="18" customHeight="1">
      <c r="A8" s="349"/>
      <c r="B8" s="3399"/>
      <c r="C8" s="351"/>
      <c r="D8" s="352"/>
      <c r="E8" s="347" t="s">
        <v>1407</v>
      </c>
      <c r="F8" s="348">
        <f ca="1">INDIRECT("'数据-取费表'!ai"&amp;$G$1)</f>
        <v>0</v>
      </c>
      <c r="G8" s="1851"/>
      <c r="H8" s="349"/>
      <c r="I8" s="3399"/>
      <c r="J8" s="351"/>
      <c r="K8" s="352"/>
      <c r="L8" s="347" t="s">
        <v>1407</v>
      </c>
      <c r="M8" s="348">
        <f ca="1">INDIRECT("'数据-取费表'!ai"&amp;$G$1)</f>
        <v>0</v>
      </c>
    </row>
    <row r="9" spans="1:37" ht="18" customHeight="1">
      <c r="A9" s="349"/>
      <c r="B9" s="3400"/>
      <c r="C9" s="351"/>
      <c r="D9" s="352"/>
      <c r="E9" s="347" t="s">
        <v>1408</v>
      </c>
      <c r="F9" s="357">
        <f ca="1">INDIRECT("'数据-取费表'!w"&amp;$G$1)</f>
        <v>0</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ROUND(IF(F10="押一",F6*F8*F7/12*F11,IF(F10="押二",F6*F8*F7/12*2*F11,IF(F10="押三",F6*F8*F7/12*3*F11,C11*F11))),0)</f>
        <v>0</v>
      </c>
      <c r="D10" s="1824" t="s">
        <v>3024</v>
      </c>
      <c r="E10" s="358" t="s">
        <v>1411</v>
      </c>
      <c r="F10" s="1366"/>
      <c r="G10" s="1851"/>
      <c r="H10" s="1291" t="s">
        <v>1039</v>
      </c>
      <c r="I10" s="1823" t="s">
        <v>1409</v>
      </c>
      <c r="J10" s="346">
        <f ca="1">ROUND(IF(M10="押一",M6*M8*M7/12*M11,IF(M10="押二",M6*M8*M7/12*2*M11,IF(M10="押三",M6*M8*M7/12*3*M11,J11*M11))),0)</f>
        <v>0</v>
      </c>
      <c r="K10" s="1835" t="s">
        <v>3025</v>
      </c>
      <c r="L10" s="358" t="s">
        <v>1411</v>
      </c>
      <c r="M10" s="1366"/>
    </row>
    <row r="11" spans="1:37" ht="18" customHeight="1">
      <c r="A11" s="353"/>
      <c r="B11" s="1825" t="s">
        <v>1603</v>
      </c>
      <c r="C11" s="1178"/>
      <c r="D11" s="352"/>
      <c r="E11" s="358" t="s">
        <v>1413</v>
      </c>
      <c r="F11" s="359">
        <f ca="1">'数据-取费表'!B39</f>
        <v>1.4999999999999999E-2</v>
      </c>
      <c r="G11" s="1851"/>
      <c r="H11" s="1299"/>
      <c r="I11" s="1825" t="s">
        <v>1604</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ROUND(INDIRECT("'数据-取费表'!l"&amp;$G$1)*F43+'数据-取费表'!L14*INDIRECT("'数据-取费表'!S"&amp;$G$1),0)</f>
        <v>0</v>
      </c>
      <c r="D14" s="1800" t="s">
        <v>1419</v>
      </c>
      <c r="E14" s="1794"/>
      <c r="F14" s="364"/>
      <c r="G14" s="1851"/>
      <c r="H14" s="1201" t="s">
        <v>1035</v>
      </c>
      <c r="I14" s="347" t="s">
        <v>1420</v>
      </c>
      <c r="J14" s="24">
        <f ca="1">C29</f>
        <v>0</v>
      </c>
      <c r="K14" s="15"/>
      <c r="L14" s="979"/>
      <c r="M14" s="980"/>
    </row>
    <row r="15" spans="1:37" s="1858" customFormat="1" ht="18" customHeight="1" thickBot="1">
      <c r="A15" s="1201" t="s">
        <v>1036</v>
      </c>
      <c r="B15" s="347" t="s">
        <v>1421</v>
      </c>
      <c r="C15" s="24">
        <f ca="1">ROUND(C14*F15,0)</f>
        <v>0</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51"/>
      <c r="H16" s="1329" t="s">
        <v>1030</v>
      </c>
      <c r="I16" s="1330" t="s">
        <v>1425</v>
      </c>
      <c r="J16" s="355">
        <f ca="1">ROUND(J17+J22+J23+J24,0)</f>
        <v>0</v>
      </c>
      <c r="K16" s="1337" t="s">
        <v>1426</v>
      </c>
      <c r="L16" s="1338"/>
      <c r="M16" s="1294"/>
    </row>
    <row r="17" spans="1:37" s="1858" customFormat="1" ht="18" customHeight="1">
      <c r="A17" s="1201" t="s">
        <v>1390</v>
      </c>
      <c r="B17" s="347" t="s">
        <v>1427</v>
      </c>
      <c r="C17" s="24">
        <f ca="1">ROUND(F17*(F43+INDIRECT("'数据-取费表'!S"&amp;$G$1)),0)</f>
        <v>0</v>
      </c>
      <c r="D17" s="347" t="s">
        <v>1428</v>
      </c>
      <c r="E17" s="347" t="s">
        <v>1429</v>
      </c>
      <c r="F17" s="26">
        <f>'数据-取费表'!B35</f>
        <v>200</v>
      </c>
      <c r="G17" s="1854"/>
      <c r="H17" s="1201" t="s">
        <v>1035</v>
      </c>
      <c r="I17" s="347" t="s">
        <v>1430</v>
      </c>
      <c r="J17" s="24">
        <f ca="1">ROUND(IF(项目基本情况!B11="自然人",J5*M17,J18+J19+J20),0)</f>
        <v>0</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0</v>
      </c>
      <c r="D18" s="347" t="s">
        <v>1422</v>
      </c>
      <c r="E18" s="347" t="s">
        <v>1423</v>
      </c>
      <c r="F18" s="367">
        <f>'数据-取费表'!B36</f>
        <v>1.4999999999999999E-2</v>
      </c>
      <c r="G18" s="1854"/>
      <c r="H18" s="1201" t="s">
        <v>1034</v>
      </c>
      <c r="I18" s="347" t="s">
        <v>1434</v>
      </c>
      <c r="J18" s="24">
        <f ca="1">ROUND(J5*M18/(1+'数据-取费表'!C42),0)</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0</v>
      </c>
      <c r="D19" s="140" t="s">
        <v>1437</v>
      </c>
      <c r="E19" s="1818"/>
      <c r="F19" s="26"/>
      <c r="G19" s="1851"/>
      <c r="H19" s="1201" t="s">
        <v>1036</v>
      </c>
      <c r="I19" s="347" t="s">
        <v>1438</v>
      </c>
      <c r="J19" s="24">
        <f ca="1">IF(K19="按租金收入计税",ROUND(J5*M19,0),ROUND(C29*M19*0.7,0))</f>
        <v>0</v>
      </c>
      <c r="K19" s="1828" t="s">
        <v>1439</v>
      </c>
      <c r="L19" s="347" t="s">
        <v>1423</v>
      </c>
      <c r="M19" s="367">
        <f>IF(K19="按租金收入计税",'数据-取费表'!B51,'数据-取费表'!B50)</f>
        <v>1.2E-2</v>
      </c>
    </row>
    <row r="20" spans="1:37" s="1858" customFormat="1" ht="18" customHeight="1">
      <c r="A20" s="1201" t="s">
        <v>1039</v>
      </c>
      <c r="B20" s="347" t="s">
        <v>1440</v>
      </c>
      <c r="C20" s="24">
        <f ca="1">ROUND(C19*F20,0)</f>
        <v>0</v>
      </c>
      <c r="D20" s="369" t="s">
        <v>1441</v>
      </c>
      <c r="E20" s="347" t="s">
        <v>1423</v>
      </c>
      <c r="F20" s="367">
        <f>'数据-取费表'!B37</f>
        <v>0.02</v>
      </c>
      <c r="G20" s="1854"/>
      <c r="H20" s="1201" t="s">
        <v>1389</v>
      </c>
      <c r="I20" s="164" t="s">
        <v>1442</v>
      </c>
      <c r="J20" s="25">
        <f ca="1">ROUND(M20*M21,0)</f>
        <v>0</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ROUND(J14*M22,0)</f>
        <v>0</v>
      </c>
      <c r="K22" s="1798" t="s">
        <v>1451</v>
      </c>
      <c r="L22" s="347" t="s">
        <v>1423</v>
      </c>
      <c r="M22" s="374">
        <f ca="1">INDIRECT("'数据-取费表'!Ak"&amp;$G$1)</f>
        <v>0</v>
      </c>
    </row>
    <row r="23" spans="1:37" s="1858" customFormat="1" ht="18" customHeight="1">
      <c r="A23" s="1201"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ROUND(J13*M23,0)</f>
        <v>0</v>
      </c>
      <c r="K23" s="1798" t="s">
        <v>1455</v>
      </c>
      <c r="L23" s="347" t="s">
        <v>1456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ROUND(J5*M24,0)</f>
        <v>0</v>
      </c>
      <c r="K24" s="1342" t="s">
        <v>1460</v>
      </c>
      <c r="L24" s="1340" t="s">
        <v>1456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1461</v>
      </c>
      <c r="B25" s="347" t="s">
        <v>1462</v>
      </c>
      <c r="C25" s="24"/>
      <c r="D25" s="140" t="s">
        <v>1463</v>
      </c>
      <c r="E25" s="1818"/>
      <c r="F25" s="26"/>
      <c r="G25" s="1851"/>
      <c r="H25" s="1329" t="s">
        <v>1031</v>
      </c>
      <c r="I25" s="1344" t="s">
        <v>1464</v>
      </c>
      <c r="J25" s="355">
        <f ca="1">J5-J16</f>
        <v>0</v>
      </c>
      <c r="K25" s="1345" t="s">
        <v>1465</v>
      </c>
      <c r="L25" s="1346"/>
      <c r="M25" s="1347"/>
    </row>
    <row r="26" spans="1:37" ht="18" customHeight="1">
      <c r="A26" s="1201" t="s">
        <v>1034</v>
      </c>
      <c r="B26" s="347" t="s">
        <v>1466</v>
      </c>
      <c r="C26" s="24">
        <f ca="1">ROUND((C19+C20)*F26,0)</f>
        <v>0</v>
      </c>
      <c r="D26" s="369" t="s">
        <v>1467</v>
      </c>
      <c r="E26" s="358" t="s">
        <v>1468</v>
      </c>
      <c r="F26" s="357">
        <f ca="1">INDIRECT("'数据-取费表'!q"&amp;$G$1)</f>
        <v>0</v>
      </c>
      <c r="G26" s="1851"/>
      <c r="H26" s="344" t="s">
        <v>1032</v>
      </c>
      <c r="I26" s="345" t="s">
        <v>1469</v>
      </c>
      <c r="J26" s="346">
        <f ca="1">IF(J5&lt;&gt;0,ROUND(J25*(1-((1+M28)/(1+M26))^M27)/(M26-M28),0),0)</f>
        <v>0</v>
      </c>
      <c r="K26" s="370" t="s">
        <v>1470</v>
      </c>
      <c r="L26" s="347" t="s">
        <v>1471</v>
      </c>
      <c r="M26" s="357">
        <f ca="1">INDIRECT("'数据-取费表'!I"&amp;$G$1)</f>
        <v>0</v>
      </c>
    </row>
    <row r="27" spans="1:37" ht="18" customHeight="1">
      <c r="A27" s="1201" t="s">
        <v>1036</v>
      </c>
      <c r="B27" s="347" t="s">
        <v>1472</v>
      </c>
      <c r="C27" s="24">
        <f ca="1">ROUND(F21*F26,4)</f>
        <v>0</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0</v>
      </c>
      <c r="D29" s="1342"/>
      <c r="E29" s="1340"/>
      <c r="F29" s="1343"/>
      <c r="G29" s="1854"/>
      <c r="H29" s="380" t="s">
        <v>1033</v>
      </c>
      <c r="I29" s="381" t="s">
        <v>1480</v>
      </c>
      <c r="J29" s="382">
        <f ca="1">ROUND(J26/(1+F40)^F41,0)</f>
        <v>0</v>
      </c>
      <c r="K29" s="383" t="s">
        <v>1481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0</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ROUND(IF(项目基本情况!B11="自然人",C5*F31,C32+C33+C34),0)</f>
        <v>0</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IF(项目基本情况!B11="自然人","——",ROUND(C5*F32/(1+'数据-取费表'!C42),0))</f>
        <v>0</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IF(项目基本情况!B11="自然人","——",IF(D33="按租金收入计税",ROUND(C5*F33,0),IF(D33="按房产原值计税",ROUND(C29*F33*0.7,0),INDIRECT("'数据-取费表'!Aj"&amp;$G$1))))</f>
        <v>0</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f>
        <v>0</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0</v>
      </c>
      <c r="G35" s="1851"/>
      <c r="H35" s="745"/>
      <c r="I35" s="1860"/>
      <c r="J35" s="1861"/>
      <c r="K35" s="1862"/>
      <c r="L35" s="1859"/>
      <c r="M35" s="1859"/>
    </row>
    <row r="36" spans="1:18" ht="18" customHeight="1">
      <c r="A36" s="1352" t="s">
        <v>1039</v>
      </c>
      <c r="B36" s="347" t="s">
        <v>1450</v>
      </c>
      <c r="C36" s="24">
        <f ca="1">ROUND(C29*F36,0)</f>
        <v>0</v>
      </c>
      <c r="D36" s="1798" t="s">
        <v>1483</v>
      </c>
      <c r="E36" s="347" t="s">
        <v>1423</v>
      </c>
      <c r="F36" s="374">
        <f ca="1">INDIRECT("'数据-取费表'!Ak"&amp;$G$1)</f>
        <v>0</v>
      </c>
      <c r="G36" s="1851"/>
      <c r="H36" s="1859"/>
      <c r="I36" s="1860"/>
      <c r="J36" s="1861"/>
      <c r="K36" s="751"/>
      <c r="L36" s="1859"/>
      <c r="M36" s="1859"/>
    </row>
    <row r="37" spans="1:18" ht="18" customHeight="1">
      <c r="A37" s="1201" t="s">
        <v>1075</v>
      </c>
      <c r="B37" s="347" t="s">
        <v>1454</v>
      </c>
      <c r="C37" s="24">
        <f ca="1">ROUND(C13*F37,0)</f>
        <v>0</v>
      </c>
      <c r="D37" s="1798" t="s">
        <v>1455</v>
      </c>
      <c r="E37" s="347" t="s">
        <v>1456</v>
      </c>
      <c r="F37" s="376">
        <f ca="1">INDIRECT("'数据-取费表'!Al"&amp;$G$1)</f>
        <v>0</v>
      </c>
      <c r="G37" s="1851"/>
      <c r="H37" s="1859"/>
      <c r="I37" s="1860"/>
      <c r="J37" s="1861"/>
      <c r="K37" s="751"/>
      <c r="L37" s="1859"/>
      <c r="M37" s="1859"/>
    </row>
    <row r="38" spans="1:18" ht="18" customHeight="1" thickBot="1">
      <c r="A38" s="1339" t="s">
        <v>1393</v>
      </c>
      <c r="B38" s="1340" t="s">
        <v>1440</v>
      </c>
      <c r="C38" s="1341">
        <f ca="1">ROUND(C5*F38,1)</f>
        <v>0</v>
      </c>
      <c r="D38" s="1342" t="s">
        <v>1460</v>
      </c>
      <c r="E38" s="1340" t="s">
        <v>1456</v>
      </c>
      <c r="F38" s="1336">
        <f ca="1">INDIRECT("'数据-取费表'!Am"&amp;$G$1)</f>
        <v>0</v>
      </c>
      <c r="G38" s="1851"/>
      <c r="H38" s="1859"/>
      <c r="I38" s="1860"/>
      <c r="J38" s="1861"/>
      <c r="K38" s="1865"/>
      <c r="L38" s="1859"/>
      <c r="M38" s="1859"/>
    </row>
    <row r="39" spans="1:18" ht="24.6" customHeight="1" thickTop="1">
      <c r="A39" s="1329" t="s">
        <v>1031</v>
      </c>
      <c r="B39" s="1344" t="s">
        <v>1484</v>
      </c>
      <c r="C39" s="355">
        <f ca="1">C5-C30</f>
        <v>0</v>
      </c>
      <c r="D39" s="1345" t="s">
        <v>1485</v>
      </c>
      <c r="E39" s="1346"/>
      <c r="F39" s="1347"/>
      <c r="G39" s="1851"/>
      <c r="H39" s="1859"/>
      <c r="I39" s="1860"/>
      <c r="J39" s="1861"/>
      <c r="K39" s="1865"/>
      <c r="L39" s="1859"/>
      <c r="M39" s="1859"/>
    </row>
    <row r="40" spans="1:18" ht="18" customHeight="1">
      <c r="A40" s="344" t="s">
        <v>1032</v>
      </c>
      <c r="B40" s="345" t="s">
        <v>1486</v>
      </c>
      <c r="C40" s="346" t="e">
        <f ca="1">ROUND(C39*(1-((1+F42)/(1+F40))^F41)/(F40-F42),0)</f>
        <v>#DIV/0!</v>
      </c>
      <c r="D40" s="370" t="s">
        <v>1470</v>
      </c>
      <c r="E40" s="347" t="s">
        <v>1471</v>
      </c>
      <c r="F40" s="357">
        <f ca="1">INDIRECT("'数据-取费表'!I"&amp;$G$1)</f>
        <v>0</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1478</v>
      </c>
      <c r="F42" s="357">
        <f ca="1">INDIRECT("'数据-取费表'!v"&amp;$G$1)</f>
        <v>0</v>
      </c>
      <c r="G42" s="1851"/>
      <c r="H42" s="732"/>
      <c r="I42" s="1860"/>
      <c r="J42" s="1861"/>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5" t="s">
        <v>1396</v>
      </c>
      <c r="B47" s="1197" t="s">
        <v>1397</v>
      </c>
      <c r="C47" s="1197" t="s">
        <v>1398</v>
      </c>
      <c r="D47" s="1197" t="s">
        <v>1399</v>
      </c>
      <c r="E47" s="1279" t="s">
        <v>1400</v>
      </c>
      <c r="F47" s="1280"/>
      <c r="G47" s="792"/>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60" t="s">
        <v>1135</v>
      </c>
      <c r="B48" s="345" t="s">
        <v>1401</v>
      </c>
      <c r="C48" s="1817">
        <f ca="1">C49+C53+C55</f>
        <v>0</v>
      </c>
      <c r="D48" s="1362"/>
      <c r="E48" s="1363"/>
      <c r="F48" s="1181"/>
      <c r="G48" s="792"/>
      <c r="H48" s="793"/>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4" t="s">
        <v>1136</v>
      </c>
      <c r="B49" s="1829" t="s">
        <v>1491</v>
      </c>
      <c r="C49" s="1364">
        <f ca="1">ROUND(F49*F51*F50*(1-F52),0)</f>
        <v>0</v>
      </c>
      <c r="D49" s="1276" t="s">
        <v>1404</v>
      </c>
      <c r="E49" s="1830" t="s">
        <v>1492</v>
      </c>
      <c r="F49" s="1281"/>
      <c r="G49" s="1891"/>
      <c r="H49" s="793"/>
      <c r="I49" s="1887" t="s">
        <v>1535</v>
      </c>
      <c r="J49" s="1892"/>
      <c r="K49" s="1889" t="s">
        <v>1536</v>
      </c>
      <c r="L49" s="1893"/>
      <c r="O49" s="1894" t="s">
        <v>1042</v>
      </c>
      <c r="P49" s="1885" t="s">
        <v>1537</v>
      </c>
      <c r="Q49" s="1886">
        <f ca="1">C29</f>
        <v>0</v>
      </c>
      <c r="R49" s="1886" t="s">
        <v>1530</v>
      </c>
    </row>
    <row r="50" spans="1:18" s="1842" customFormat="1" ht="13.5" thickBot="1">
      <c r="A50" s="1195"/>
      <c r="B50" s="1198"/>
      <c r="C50" s="1199"/>
      <c r="D50" s="1172"/>
      <c r="E50" s="1277" t="s">
        <v>1406</v>
      </c>
      <c r="F50" s="1278">
        <f ca="1">F7</f>
        <v>0</v>
      </c>
      <c r="H50" s="793"/>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6"/>
      <c r="B51" s="1198"/>
      <c r="C51" s="1199"/>
      <c r="D51" s="1172"/>
      <c r="E51" s="1200" t="s">
        <v>1407</v>
      </c>
      <c r="F51" s="348">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6"/>
      <c r="B52" s="1198"/>
      <c r="C52" s="1199"/>
      <c r="D52" s="1172"/>
      <c r="E52" s="1200" t="s">
        <v>1408</v>
      </c>
      <c r="F52" s="1275"/>
      <c r="I52" s="1903" t="s">
        <v>1544</v>
      </c>
      <c r="J52" s="1904"/>
      <c r="K52" s="1903" t="s">
        <v>1545</v>
      </c>
      <c r="L52" s="1904"/>
      <c r="O52" s="1894" t="s">
        <v>1045</v>
      </c>
      <c r="P52" s="1885" t="s">
        <v>1546</v>
      </c>
      <c r="Q52" s="1886" t="b">
        <f>J53</f>
        <v>0</v>
      </c>
      <c r="R52" s="1886" t="s">
        <v>1547</v>
      </c>
    </row>
    <row r="53" spans="1:18" s="1842" customFormat="1" ht="30.75" customHeight="1" thickBot="1">
      <c r="A53" s="1361" t="s">
        <v>1137</v>
      </c>
      <c r="B53" s="369" t="s">
        <v>1409</v>
      </c>
      <c r="C53" s="361">
        <f ca="1">ROUND(IF(F53="押一",F49*F51*F50/12*F11,IF(F53="押二",F49*F51*F50/12*2*F11,IF(F53="押三",F49*F51*F50/12*3*F11,C54*F11))),0)</f>
        <v>0</v>
      </c>
      <c r="D53" s="1824" t="s">
        <v>1410</v>
      </c>
      <c r="E53" s="358" t="s">
        <v>1411</v>
      </c>
      <c r="F53" s="1366"/>
      <c r="I53" s="1905" t="s">
        <v>1548</v>
      </c>
      <c r="J53" s="1906" t="b">
        <f>IF(M47="住宅",J51,IF(D1="——",MIN(J51,L48),IF(D1="在建（套用方法）",MIN(J51,L48-'数据-取费表'!B24),IF(D1="土地（套用方法）",MIN(J51,L48-'数据-取费表'!B20)))))</f>
        <v>0</v>
      </c>
      <c r="K53" s="3396" t="s">
        <v>1549</v>
      </c>
      <c r="L53" s="3397"/>
      <c r="O53" s="1884" t="s">
        <v>1046</v>
      </c>
      <c r="P53" s="1885" t="s">
        <v>1550</v>
      </c>
      <c r="Q53" s="1886" t="e">
        <f ca="1">Q47+Q48</f>
        <v>#DIV/0!</v>
      </c>
      <c r="R53" s="1886" t="s">
        <v>1047</v>
      </c>
    </row>
    <row r="54" spans="1:18" s="1842" customFormat="1" ht="13.5" thickBot="1">
      <c r="A54" s="1194"/>
      <c r="B54" s="1941" t="s">
        <v>1604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6">
        <v>2</v>
      </c>
      <c r="B56" s="1177" t="s">
        <v>1415</v>
      </c>
      <c r="C56" s="276">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69" t="s">
        <v>1479</v>
      </c>
      <c r="C57" s="282">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60" t="s">
        <v>1030</v>
      </c>
      <c r="B58" s="1177" t="s">
        <v>1425</v>
      </c>
      <c r="C58" s="361">
        <f ca="1">ROUND(C59+C64+C65+C66,0)</f>
        <v>0</v>
      </c>
      <c r="D58" s="1179" t="s">
        <v>1426</v>
      </c>
      <c r="E58" s="1180"/>
      <c r="F58" s="1181"/>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ROUND(IF(项目基本情况!B11="自然人",C48*F59,C60+C61+C62),0)</f>
        <v>0</v>
      </c>
      <c r="D59" s="1182" t="s">
        <v>1431</v>
      </c>
      <c r="E59" s="1183" t="s">
        <v>1432</v>
      </c>
      <c r="F59" s="368"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IF(项目基本情况!B11="自然人","——",ROUND(C48*F60/(1+'数据-取费表'!C42),0))</f>
        <v>0</v>
      </c>
      <c r="D60" s="1183" t="s">
        <v>1435</v>
      </c>
      <c r="E60" s="1169" t="s">
        <v>1423</v>
      </c>
      <c r="F60" s="377">
        <f t="shared" ref="F60:F66" si="0">F32</f>
        <v>5.5000000000000007E-2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IF(项目基本情况!B11="自然人","——",IF(D61="按租金收入计税",ROUND(C48*F61,0),IF(D61="按房产原值计税",ROUND(C57*F61*0.7,0),INDIRECT("'数据-取费表'!Aj"&amp;$G$1))))</f>
        <v>0</v>
      </c>
      <c r="D61" s="1828" t="s">
        <v>1439</v>
      </c>
      <c r="E61" s="1169" t="s">
        <v>1495</v>
      </c>
      <c r="F61" s="367">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IF(项目基本情况!B11="自然人","——",ROUND(F62*F63,0))</f>
        <v>0</v>
      </c>
      <c r="D62" s="1184" t="s">
        <v>1498</v>
      </c>
      <c r="E62" s="1169" t="s">
        <v>1499</v>
      </c>
      <c r="F62" s="371">
        <f t="shared" si="0"/>
        <v>1.5</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2"/>
      <c r="B63" s="1175"/>
      <c r="C63" s="29"/>
      <c r="D63" s="1185"/>
      <c r="E63" s="1169"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ROUND(C57*F64,0)</f>
        <v>0</v>
      </c>
      <c r="D64" s="1183" t="s">
        <v>1503</v>
      </c>
      <c r="E64" s="1169" t="s">
        <v>1495</v>
      </c>
      <c r="F64" s="374">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ROUND(C56*F65,0)</f>
        <v>0</v>
      </c>
      <c r="D65" s="1183" t="s">
        <v>1455</v>
      </c>
      <c r="E65" s="1169" t="s">
        <v>1456</v>
      </c>
      <c r="F65" s="376">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1" t="s">
        <v>1505</v>
      </c>
      <c r="B66" s="1169" t="s">
        <v>1440</v>
      </c>
      <c r="C66" s="24">
        <f ca="1">ROUND(C48*F66,0)</f>
        <v>0</v>
      </c>
      <c r="D66" s="1183" t="s">
        <v>1506</v>
      </c>
      <c r="E66" s="1169" t="s">
        <v>1423</v>
      </c>
      <c r="F66" s="357">
        <f t="shared" ca="1" si="0"/>
        <v>0</v>
      </c>
      <c r="O66" s="1884" t="s">
        <v>1041</v>
      </c>
      <c r="P66" s="1885" t="s">
        <v>1559</v>
      </c>
      <c r="Q66" s="1886" t="e">
        <f ca="1">L60</f>
        <v>#DIV/0!</v>
      </c>
      <c r="R66" s="1886" t="s">
        <v>1582</v>
      </c>
    </row>
    <row r="67" spans="1:18" s="1842" customFormat="1" ht="16.5" thickBot="1">
      <c r="A67" s="1176" t="s">
        <v>1031</v>
      </c>
      <c r="B67" s="1186" t="s">
        <v>1464</v>
      </c>
      <c r="C67" s="361">
        <f ca="1">C48-C58</f>
        <v>0</v>
      </c>
      <c r="D67" s="1182" t="s">
        <v>1465</v>
      </c>
      <c r="E67" s="1187"/>
      <c r="F67" s="1188"/>
      <c r="O67" s="1894" t="s">
        <v>1042</v>
      </c>
      <c r="P67" s="1885" t="s">
        <v>1563</v>
      </c>
      <c r="Q67" s="1933">
        <f ca="1">L51</f>
        <v>0</v>
      </c>
      <c r="R67" s="1886" t="s">
        <v>1583</v>
      </c>
    </row>
    <row r="68" spans="1:18" s="1842" customFormat="1" ht="16.5" thickBot="1">
      <c r="A68" s="1166" t="s">
        <v>1032</v>
      </c>
      <c r="B68" s="1167" t="s">
        <v>1486</v>
      </c>
      <c r="C68" s="346" t="e">
        <f ca="1">ROUND(C67*(1-((1+F70)/(1+F68))^F69)/(F68-F70),0)</f>
        <v>#DIV/0!</v>
      </c>
      <c r="D68" s="1184" t="s">
        <v>1470</v>
      </c>
      <c r="E68" s="1169" t="s">
        <v>1471</v>
      </c>
      <c r="F68" s="357">
        <f ca="1">F40</f>
        <v>0</v>
      </c>
      <c r="O68" s="1894" t="s">
        <v>1043</v>
      </c>
      <c r="P68" s="1934" t="s">
        <v>1584</v>
      </c>
      <c r="Q68" s="1886">
        <f ca="1">ROUND(Q69-Q70*Q71,0)</f>
        <v>0</v>
      </c>
      <c r="R68" s="1886" t="s">
        <v>1051</v>
      </c>
    </row>
    <row r="69" spans="1:18" s="1842" customFormat="1" ht="13.5" thickBot="1">
      <c r="A69" s="1170"/>
      <c r="B69" s="1171"/>
      <c r="C69" s="351"/>
      <c r="D69" s="1189" t="s">
        <v>1474</v>
      </c>
      <c r="E69" s="1169" t="s">
        <v>1475</v>
      </c>
      <c r="F69" s="379">
        <f ca="1">F41</f>
        <v>0</v>
      </c>
      <c r="O69" s="1894" t="s">
        <v>1048</v>
      </c>
      <c r="P69" s="1934" t="s">
        <v>1585</v>
      </c>
      <c r="Q69" s="1886">
        <f ca="1">C39</f>
        <v>0</v>
      </c>
      <c r="R69" s="1886" t="s">
        <v>1530</v>
      </c>
    </row>
    <row r="70" spans="1:18" s="1842" customFormat="1" ht="13.5" thickBot="1">
      <c r="A70" s="1173"/>
      <c r="B70" s="1174"/>
      <c r="C70" s="355"/>
      <c r="D70" s="1185"/>
      <c r="E70" s="1169" t="s">
        <v>1478</v>
      </c>
      <c r="F70" s="1275">
        <f ca="1">F42</f>
        <v>0</v>
      </c>
      <c r="O70" s="1894" t="s">
        <v>1049</v>
      </c>
      <c r="P70" s="1934" t="s">
        <v>1586</v>
      </c>
      <c r="Q70" s="1886">
        <f ca="1">C13</f>
        <v>0</v>
      </c>
      <c r="R70" s="1886" t="s">
        <v>1530</v>
      </c>
    </row>
    <row r="71" spans="1:18" s="1842" customFormat="1" ht="13.5" thickBot="1">
      <c r="A71" s="1190" t="s">
        <v>1033</v>
      </c>
      <c r="B71" s="1191" t="s">
        <v>1488</v>
      </c>
      <c r="C71" s="382" t="e">
        <f ca="1">ROUND(C68/F71,0)</f>
        <v>#DIV/0!</v>
      </c>
      <c r="D71" s="1192" t="s">
        <v>1489</v>
      </c>
      <c r="E71" s="1193" t="s">
        <v>1490</v>
      </c>
      <c r="F71" s="385">
        <f ca="1">F43</f>
        <v>0</v>
      </c>
      <c r="O71" s="1894" t="s">
        <v>1050</v>
      </c>
      <c r="P71" s="1934" t="s">
        <v>1587</v>
      </c>
      <c r="Q71" s="1897">
        <f ca="1">C76</f>
        <v>0</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t="e">
        <f ca="1">Q65+Q66</f>
        <v>#DIV/0!</v>
      </c>
      <c r="R75" s="1886" t="s">
        <v>1047</v>
      </c>
    </row>
    <row r="76" spans="1:18">
      <c r="B76" s="388" t="s">
        <v>1508</v>
      </c>
      <c r="C76" s="389">
        <f ca="1">INDIRECT("'数据-取费表'!j"&amp;$G$1)</f>
        <v>0</v>
      </c>
      <c r="I76" s="1842"/>
      <c r="J76" s="1842"/>
      <c r="K76" s="1868"/>
      <c r="L76" s="1842"/>
    </row>
    <row r="77" spans="1:18">
      <c r="B77" s="390" t="s">
        <v>1509</v>
      </c>
      <c r="C77" s="391"/>
      <c r="I77" s="1842"/>
      <c r="J77" s="1842"/>
      <c r="K77" s="1868"/>
      <c r="L77" s="1842"/>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2521</v>
      </c>
      <c r="B1" s="2560"/>
      <c r="C1" s="2560"/>
      <c r="D1" s="2560"/>
      <c r="E1" s="2561"/>
    </row>
    <row r="2" spans="1:6" ht="15.75">
      <c r="A2" s="2562" t="s">
        <v>2325</v>
      </c>
      <c r="B2" s="2563">
        <f ca="1">SUMIF(B6:B13,"&lt;&gt;#ref!",B6:B13)</f>
        <v>97706</v>
      </c>
      <c r="C2" s="2564" t="s">
        <v>2514</v>
      </c>
      <c r="D2" s="2565" t="s">
        <v>2515</v>
      </c>
      <c r="E2" s="2566">
        <f>SUM(E6:E13)</f>
        <v>64021.789999999994</v>
      </c>
    </row>
    <row r="3" spans="1:6" ht="15.75">
      <c r="A3" s="2562" t="s">
        <v>1395</v>
      </c>
      <c r="B3" s="2563">
        <f ca="1">ROUND(B2*10000/E2,0)</f>
        <v>15261</v>
      </c>
      <c r="C3" s="2564" t="s">
        <v>2522</v>
      </c>
      <c r="D3" s="2567"/>
      <c r="E3" s="2568"/>
    </row>
    <row r="4" spans="1:6" ht="15.75">
      <c r="A4" s="2569"/>
      <c r="B4" s="2567"/>
      <c r="C4" s="2567"/>
      <c r="D4" s="2567"/>
      <c r="E4" s="2568"/>
    </row>
    <row r="5" spans="1:6" ht="15">
      <c r="A5" s="2570" t="s">
        <v>2516</v>
      </c>
      <c r="B5" s="3401" t="s">
        <v>2517</v>
      </c>
      <c r="C5" s="3401"/>
      <c r="D5" s="2571"/>
      <c r="E5" s="2572" t="s">
        <v>2518</v>
      </c>
      <c r="F5" s="2573" t="s">
        <v>2519</v>
      </c>
    </row>
    <row r="6" spans="1:6">
      <c r="A6" s="2574">
        <f>'数据-取费表'!AN6</f>
        <v>0</v>
      </c>
      <c r="B6" s="2573" t="e">
        <f ca="1">IF(F6="是",'数据-取费表'!AO6,0)</f>
        <v>#REF!</v>
      </c>
      <c r="C6" s="2564" t="s">
        <v>2514</v>
      </c>
      <c r="D6" s="2567"/>
      <c r="E6" s="2575">
        <f>IF(OR(A6=0,F6="否"),0,'数据-取费表'!K6+'数据-取费表'!S6)</f>
        <v>0</v>
      </c>
      <c r="F6" s="2576" t="s">
        <v>2520</v>
      </c>
    </row>
    <row r="7" spans="1:6">
      <c r="A7" s="2574">
        <f>'数据-取费表'!AN7</f>
        <v>0</v>
      </c>
      <c r="B7" s="2573" t="e">
        <f ca="1">IF(F7="是",'数据-取费表'!AO7,0)</f>
        <v>#REF!</v>
      </c>
      <c r="C7" s="2564" t="s">
        <v>2514</v>
      </c>
      <c r="D7" s="2567"/>
      <c r="E7" s="2575">
        <f>IF(OR(A7=0,F7="否"),0,'数据-取费表'!K7+'数据-取费表'!S7)</f>
        <v>0</v>
      </c>
      <c r="F7" s="2576" t="s">
        <v>2520</v>
      </c>
    </row>
    <row r="8" spans="1:6">
      <c r="A8" s="2574" t="str">
        <f>'数据-取费表'!AN8</f>
        <v>收益法（地下仓储）</v>
      </c>
      <c r="B8" s="2573">
        <f ca="1">IF(F8="是",'数据-取费表'!AO8,0)</f>
        <v>6712</v>
      </c>
      <c r="C8" s="2564" t="s">
        <v>2514</v>
      </c>
      <c r="D8" s="2567"/>
      <c r="E8" s="2575">
        <f>IF(OR(A8=0,F8="否"),0,'数据-取费表'!K8+'数据-取费表'!S8)</f>
        <v>7959.64</v>
      </c>
      <c r="F8" s="2576" t="s">
        <v>2520</v>
      </c>
    </row>
    <row r="9" spans="1:6">
      <c r="A9" s="2574" t="str">
        <f>'数据-取费表'!AN9</f>
        <v>收益法（地下车库）</v>
      </c>
      <c r="B9" s="2573">
        <f ca="1">IF(F9="是",'数据-取费表'!AO9,0)</f>
        <v>9689</v>
      </c>
      <c r="C9" s="2564" t="s">
        <v>2514</v>
      </c>
      <c r="D9" s="2567"/>
      <c r="E9" s="2575">
        <f>IF(OR(A9=0,F9="否"),0,'数据-取费表'!K9+'数据-取费表'!S9)</f>
        <v>10473.299999999999</v>
      </c>
      <c r="F9" s="2576" t="s">
        <v>2520</v>
      </c>
    </row>
    <row r="10" spans="1:6">
      <c r="A10" s="2574" t="str">
        <f>'数据-取费表'!AN10</f>
        <v>收益法叠拼车位</v>
      </c>
      <c r="B10" s="2573">
        <f ca="1">IF(F10="是",'数据-取费表'!AO10,0)</f>
        <v>23087</v>
      </c>
      <c r="C10" s="2564" t="s">
        <v>2514</v>
      </c>
      <c r="D10" s="2567"/>
      <c r="E10" s="2575">
        <f>IF(OR(A10=0,F10="否"),0,'数据-取费表'!K10+'数据-取费表'!S10)</f>
        <v>15382.800000000001</v>
      </c>
      <c r="F10" s="2576" t="s">
        <v>2520</v>
      </c>
    </row>
    <row r="11" spans="1:6">
      <c r="A11" s="2574" t="str">
        <f>'数据-取费表'!AN11</f>
        <v>收益法（商品房仓储）</v>
      </c>
      <c r="B11" s="2573">
        <f ca="1">IF(F11="是",'数据-取费表'!AO11,0)</f>
        <v>58218</v>
      </c>
      <c r="C11" s="2564" t="s">
        <v>2514</v>
      </c>
      <c r="D11" s="2567"/>
      <c r="E11" s="2575">
        <f>IF(OR(A11=0,F11="否"),0,'数据-取费表'!K11+'数据-取费表'!S11)</f>
        <v>30206.05</v>
      </c>
      <c r="F11" s="2576" t="s">
        <v>2520</v>
      </c>
    </row>
    <row r="12" spans="1:6">
      <c r="A12" s="2574">
        <f>'数据-取费表'!AN12</f>
        <v>0</v>
      </c>
      <c r="B12" s="2573" t="e">
        <f ca="1">IF(F12="是",'数据-取费表'!AO12,0)</f>
        <v>#REF!</v>
      </c>
      <c r="C12" s="2564" t="s">
        <v>2514</v>
      </c>
      <c r="D12" s="2567"/>
      <c r="E12" s="2575">
        <f>IF(OR(A12=0,F12="否"),0,'数据-取费表'!K12+'数据-取费表'!S12)</f>
        <v>0</v>
      </c>
      <c r="F12" s="2576" t="s">
        <v>2520</v>
      </c>
    </row>
    <row r="13" spans="1:6" ht="15" thickBot="1">
      <c r="A13" s="2577">
        <f>'数据-取费表'!AN13</f>
        <v>0</v>
      </c>
      <c r="B13" s="2573" t="e">
        <f ca="1">IF(F13="是",'数据-取费表'!AO13,0)</f>
        <v>#REF!</v>
      </c>
      <c r="C13" s="2578" t="s">
        <v>2514</v>
      </c>
      <c r="D13" s="2579"/>
      <c r="E13" s="2575">
        <f>IF(OR(A13=0,F13="否"),0,'数据-取费表'!K13+'数据-取费表'!S13)</f>
        <v>0</v>
      </c>
      <c r="F13" s="257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北京文华盛达房地产开发有限公司：</v>
      </c>
    </row>
    <row r="4" spans="1:1" ht="36">
      <c r="A4" s="1948" t="str">
        <f>"受贵公司委托，我公司对"&amp;项目基本情况!S1&amp;"进行了预评估。"</f>
        <v>受贵公司委托，我公司对北京市昌平区北七家镇GZT-05-1地块出让国有建设用地使用权及在建建筑物房地产抵押价值进行了预评估。</v>
      </c>
    </row>
    <row r="5" spans="1:1" ht="18.75">
      <c r="A5" s="1949" t="s">
        <v>1613</v>
      </c>
    </row>
    <row r="6" spans="1:1" ht="18.75">
      <c r="A6" s="1950" t="s">
        <v>1614</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GZT-05-1地块出让国有建设用地使用权及在建建筑物房地产，为所有。根据《不动产权证书》[京（2017）昌不动产权第0000006号]，估价对象（分摊）出让国有建设用地使用权面积为31136.97平方米。根据《工程规划许可证》[建字第110114201600094、110114201600098、110114201700008、110114201700015号]，估价对象建筑面积为117348.16平方米。</v>
      </c>
    </row>
    <row r="8" spans="1:1" ht="57.75">
      <c r="A8" s="1951" t="s">
        <v>1615</v>
      </c>
    </row>
    <row r="9" spans="1:1" ht="18.75">
      <c r="A9" s="1950" t="s">
        <v>1616</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GZT-05-1地块出让国有建设用地使用权及在建建筑物房地产,属开发建设的居住项目，该项目尚在开发建设中。根据《不动产权证书》[京（2017）昌不动产权第0000006号]，估价对象（分摊）出让国有建设用地使用权面积为31136.97平方米。根据《工程规划许可证》[建字第110114201600094、110114201600098、110114201700008、110114201700015号]，估价对象规划建筑面积为117348.16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3" t="s">
        <v>1619</v>
      </c>
    </row>
    <row r="15" spans="1:1" ht="18">
      <c r="A15" s="1954" t="str">
        <f>TEXT(项目基本情况!D3,"yyyy年m月d日;;")&amp;IF(项目基本情况!D3=项目基本情况!B3,"（评估专业人员实地查勘之日）","")</f>
        <v>2018年1月11日（评估专业人员实地查勘之日）</v>
      </c>
    </row>
    <row r="16" spans="1:1" ht="18.75">
      <c r="A16" s="1953" t="s">
        <v>1620</v>
      </c>
    </row>
    <row r="17" spans="1:1" ht="75">
      <c r="A17" s="1948" t="s">
        <v>1621</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住宅67.9年、地下仓储及地下车库47.9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仓储、地下车库，实际开发程度为宗地红线外“七通”（即、、、、、、）、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1610</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2" t="s">
        <v>1076</v>
      </c>
      <c r="B1" s="3403"/>
      <c r="C1" s="3404"/>
      <c r="D1" s="3405">
        <f>SUM(I10,I15,I20,I21,I23)</f>
        <v>0</v>
      </c>
      <c r="E1" s="3405"/>
      <c r="F1" s="3405"/>
      <c r="G1" s="3405"/>
      <c r="H1" s="3405"/>
      <c r="I1" s="3406"/>
    </row>
    <row r="2" spans="1:9">
      <c r="A2" s="3407" t="s">
        <v>1077</v>
      </c>
      <c r="B2" s="3408" t="s">
        <v>1078</v>
      </c>
      <c r="C2" s="3408"/>
      <c r="D2" s="1301" t="s">
        <v>1079</v>
      </c>
      <c r="E2" s="1301" t="s">
        <v>1080</v>
      </c>
      <c r="F2" s="1301" t="s">
        <v>1081</v>
      </c>
      <c r="G2" s="1301" t="s">
        <v>1082</v>
      </c>
      <c r="H2" s="1301" t="s">
        <v>1083</v>
      </c>
      <c r="I2" s="1302" t="s">
        <v>1084</v>
      </c>
    </row>
    <row r="3" spans="1:9">
      <c r="A3" s="3407"/>
      <c r="B3" s="3408" t="s">
        <v>1085</v>
      </c>
      <c r="C3" s="3408"/>
      <c r="D3" s="1303"/>
      <c r="E3" s="1301"/>
      <c r="F3" s="1304"/>
      <c r="G3" s="1304"/>
      <c r="H3" s="1305"/>
      <c r="I3" s="1306">
        <f>ROUND(D3*E3*F3*G3*H3/10000,0)</f>
        <v>0</v>
      </c>
    </row>
    <row r="4" spans="1:9">
      <c r="A4" s="3407"/>
      <c r="B4" s="3408" t="s">
        <v>1086</v>
      </c>
      <c r="C4" s="3408"/>
      <c r="D4" s="1303"/>
      <c r="E4" s="1301"/>
      <c r="F4" s="1304"/>
      <c r="G4" s="1304"/>
      <c r="H4" s="1305"/>
      <c r="I4" s="1306">
        <f t="shared" ref="I4:I9" si="0">ROUND(D4*E4*F4*G4*H4/10000,0)</f>
        <v>0</v>
      </c>
    </row>
    <row r="5" spans="1:9">
      <c r="A5" s="3407"/>
      <c r="B5" s="3408" t="s">
        <v>1087</v>
      </c>
      <c r="C5" s="3408"/>
      <c r="D5" s="1303"/>
      <c r="E5" s="1301"/>
      <c r="F5" s="1304"/>
      <c r="G5" s="1304"/>
      <c r="H5" s="1305"/>
      <c r="I5" s="1306">
        <f t="shared" si="0"/>
        <v>0</v>
      </c>
    </row>
    <row r="6" spans="1:9">
      <c r="A6" s="3407"/>
      <c r="B6" s="3408" t="s">
        <v>1088</v>
      </c>
      <c r="C6" s="3408"/>
      <c r="D6" s="1303"/>
      <c r="E6" s="1301"/>
      <c r="F6" s="1304"/>
      <c r="G6" s="1304"/>
      <c r="H6" s="1305"/>
      <c r="I6" s="1306">
        <f t="shared" si="0"/>
        <v>0</v>
      </c>
    </row>
    <row r="7" spans="1:9">
      <c r="A7" s="3407"/>
      <c r="B7" s="3408" t="s">
        <v>1089</v>
      </c>
      <c r="C7" s="3408"/>
      <c r="D7" s="1303"/>
      <c r="E7" s="1301"/>
      <c r="F7" s="1304"/>
      <c r="G7" s="1304"/>
      <c r="H7" s="1305"/>
      <c r="I7" s="1306">
        <f t="shared" si="0"/>
        <v>0</v>
      </c>
    </row>
    <row r="8" spans="1:9">
      <c r="A8" s="3407"/>
      <c r="B8" s="3408" t="s">
        <v>1090</v>
      </c>
      <c r="C8" s="3408"/>
      <c r="D8" s="1303"/>
      <c r="E8" s="1301"/>
      <c r="F8" s="1304"/>
      <c r="G8" s="1304"/>
      <c r="H8" s="1305"/>
      <c r="I8" s="1306">
        <f t="shared" si="0"/>
        <v>0</v>
      </c>
    </row>
    <row r="9" spans="1:9">
      <c r="A9" s="3407"/>
      <c r="B9" s="3408" t="s">
        <v>1091</v>
      </c>
      <c r="C9" s="3408"/>
      <c r="D9" s="1303"/>
      <c r="E9" s="1301"/>
      <c r="F9" s="1304"/>
      <c r="G9" s="1304"/>
      <c r="H9" s="1305"/>
      <c r="I9" s="1306">
        <f t="shared" si="0"/>
        <v>0</v>
      </c>
    </row>
    <row r="10" spans="1:9">
      <c r="A10" s="3407"/>
      <c r="B10" s="3409" t="s">
        <v>1092</v>
      </c>
      <c r="C10" s="3409"/>
      <c r="D10" s="1307"/>
      <c r="E10" s="1307" t="e">
        <f>ROUND(D1*10000/D10/H9,0)</f>
        <v>#DIV/0!</v>
      </c>
      <c r="F10" s="1308"/>
      <c r="G10" s="1308"/>
      <c r="H10" s="1309"/>
      <c r="I10" s="1310">
        <f>SUM(I3:I9)</f>
        <v>0</v>
      </c>
    </row>
    <row r="11" spans="1:9" ht="14.25">
      <c r="A11" s="3407" t="s">
        <v>1093</v>
      </c>
      <c r="B11" s="3408" t="s">
        <v>1094</v>
      </c>
      <c r="C11" s="3408"/>
      <c r="D11" s="1303" t="s">
        <v>1095</v>
      </c>
      <c r="E11" s="1303" t="s">
        <v>1096</v>
      </c>
      <c r="F11" s="1304" t="s">
        <v>1097</v>
      </c>
      <c r="G11" s="1304" t="s">
        <v>1083</v>
      </c>
      <c r="H11" s="1311" t="s">
        <v>1098</v>
      </c>
      <c r="I11" s="1302" t="s">
        <v>1084</v>
      </c>
    </row>
    <row r="12" spans="1:9">
      <c r="A12" s="3407"/>
      <c r="B12" s="3408" t="s">
        <v>1099</v>
      </c>
      <c r="C12" s="3408"/>
      <c r="D12" s="1303"/>
      <c r="E12" s="1303"/>
      <c r="F12" s="1304"/>
      <c r="G12" s="1305"/>
      <c r="H12" s="1312"/>
      <c r="I12" s="1302">
        <f>ROUND(D12*E12*F12*G12/10000,0)</f>
        <v>0</v>
      </c>
    </row>
    <row r="13" spans="1:9">
      <c r="A13" s="3407"/>
      <c r="B13" s="3408" t="s">
        <v>1100</v>
      </c>
      <c r="C13" s="3408"/>
      <c r="D13" s="1303"/>
      <c r="E13" s="1303"/>
      <c r="F13" s="1304"/>
      <c r="G13" s="1305"/>
      <c r="H13" s="1312"/>
      <c r="I13" s="1302">
        <f>ROUND(D13*E13*F13*G13/10000,0)</f>
        <v>0</v>
      </c>
    </row>
    <row r="14" spans="1:9">
      <c r="A14" s="3407"/>
      <c r="B14" s="3408" t="s">
        <v>1101</v>
      </c>
      <c r="C14" s="3408"/>
      <c r="D14" s="1303"/>
      <c r="E14" s="1303"/>
      <c r="F14" s="1304"/>
      <c r="G14" s="1305"/>
      <c r="H14" s="1312"/>
      <c r="I14" s="1302">
        <f>ROUND(D14*E14*F14*G14/10000,0)</f>
        <v>0</v>
      </c>
    </row>
    <row r="15" spans="1:9">
      <c r="A15" s="3407"/>
      <c r="B15" s="3409" t="s">
        <v>1092</v>
      </c>
      <c r="C15" s="3409"/>
      <c r="D15" s="1307"/>
      <c r="E15" s="1307">
        <f>SUM(E12:E14)</f>
        <v>0</v>
      </c>
      <c r="F15" s="1308"/>
      <c r="G15" s="1305"/>
      <c r="H15" s="1312"/>
      <c r="I15" s="1313">
        <f>SUM(I12:I14)</f>
        <v>0</v>
      </c>
    </row>
    <row r="16" spans="1:9" ht="24">
      <c r="A16" s="3407" t="s">
        <v>1102</v>
      </c>
      <c r="B16" s="3408" t="s">
        <v>1103</v>
      </c>
      <c r="C16" s="3408"/>
      <c r="D16" s="1303" t="s">
        <v>1079</v>
      </c>
      <c r="E16" s="1314" t="s">
        <v>1104</v>
      </c>
      <c r="F16" s="1304" t="s">
        <v>1105</v>
      </c>
      <c r="G16" s="1305" t="s">
        <v>1083</v>
      </c>
      <c r="H16" s="1311" t="s">
        <v>1098</v>
      </c>
      <c r="I16" s="1302" t="s">
        <v>1084</v>
      </c>
    </row>
    <row r="17" spans="1:9" ht="14.25">
      <c r="A17" s="3407"/>
      <c r="B17" s="3408" t="s">
        <v>1106</v>
      </c>
      <c r="C17" s="3408"/>
      <c r="D17" s="1303"/>
      <c r="E17" s="1303"/>
      <c r="F17" s="1304"/>
      <c r="G17" s="1305"/>
      <c r="H17" s="1315"/>
      <c r="I17" s="1316">
        <f>ROUND(D17*E17*F17*G17/10000,0)</f>
        <v>0</v>
      </c>
    </row>
    <row r="18" spans="1:9" ht="14.25">
      <c r="A18" s="3407"/>
      <c r="B18" s="3408" t="s">
        <v>1107</v>
      </c>
      <c r="C18" s="3408"/>
      <c r="D18" s="1303"/>
      <c r="E18" s="1303"/>
      <c r="F18" s="1304"/>
      <c r="G18" s="1305"/>
      <c r="H18" s="1315"/>
      <c r="I18" s="1316">
        <f>ROUND(D18*E18*F18*G18/10000,0)</f>
        <v>0</v>
      </c>
    </row>
    <row r="19" spans="1:9" ht="14.25">
      <c r="A19" s="3407"/>
      <c r="B19" s="3408" t="s">
        <v>1108</v>
      </c>
      <c r="C19" s="3408"/>
      <c r="D19" s="1303"/>
      <c r="E19" s="1303"/>
      <c r="F19" s="1304"/>
      <c r="G19" s="1305"/>
      <c r="H19" s="1315"/>
      <c r="I19" s="1316">
        <f>ROUND(D19*E19*F19*G19/10000,0)</f>
        <v>0</v>
      </c>
    </row>
    <row r="20" spans="1:9">
      <c r="A20" s="3407"/>
      <c r="B20" s="3409" t="s">
        <v>1092</v>
      </c>
      <c r="C20" s="3409"/>
      <c r="D20" s="1307">
        <f>SUM(D17:D19)</f>
        <v>0</v>
      </c>
      <c r="E20" s="1307"/>
      <c r="F20" s="1308"/>
      <c r="G20" s="1305"/>
      <c r="H20" s="1312"/>
      <c r="I20" s="1313">
        <f>SUM(I17:I19)</f>
        <v>0</v>
      </c>
    </row>
    <row r="21" spans="1:9">
      <c r="A21" s="3407" t="s">
        <v>1109</v>
      </c>
      <c r="B21" s="3411"/>
      <c r="C21" s="3411"/>
      <c r="D21" s="3411"/>
      <c r="E21" s="3411"/>
      <c r="F21" s="3411"/>
      <c r="G21" s="3411"/>
      <c r="H21" s="1765">
        <v>0.1</v>
      </c>
      <c r="I21" s="1310">
        <f>ROUND(I10*H21,0)</f>
        <v>0</v>
      </c>
    </row>
    <row r="22" spans="1:9" ht="14.25">
      <c r="A22" s="3412" t="s">
        <v>1110</v>
      </c>
      <c r="B22" s="3413"/>
      <c r="C22" s="3414"/>
      <c r="D22" s="1317" t="s">
        <v>1111</v>
      </c>
      <c r="E22" s="1317" t="s">
        <v>1112</v>
      </c>
      <c r="F22" s="1318" t="s">
        <v>1113</v>
      </c>
      <c r="G22" s="1318" t="s">
        <v>1114</v>
      </c>
      <c r="H22" s="1311" t="s">
        <v>1115</v>
      </c>
      <c r="I22" s="1302" t="s">
        <v>1116</v>
      </c>
    </row>
    <row r="23" spans="1:9" ht="14.25" thickBot="1">
      <c r="A23" s="3415"/>
      <c r="B23" s="3416"/>
      <c r="C23" s="3417"/>
      <c r="D23" s="1319"/>
      <c r="E23" s="1319"/>
      <c r="F23" s="1319"/>
      <c r="G23" s="1320"/>
      <c r="H23" s="1321"/>
      <c r="I23" s="1322">
        <f>ROUND(E23*D23*F23*(1-G23)/10000,0)</f>
        <v>0</v>
      </c>
    </row>
    <row r="26" spans="1:9">
      <c r="A26" s="1323" t="s">
        <v>1117</v>
      </c>
      <c r="B26" s="1323"/>
      <c r="C26" s="1323"/>
      <c r="D26" s="1323"/>
      <c r="E26" s="3418">
        <f>C27-C30-C31-C32</f>
        <v>0</v>
      </c>
      <c r="F26" s="3418"/>
      <c r="G26" s="3418"/>
      <c r="H26" s="1737" t="s">
        <v>1340</v>
      </c>
    </row>
    <row r="27" spans="1:9">
      <c r="A27" s="1324">
        <v>1</v>
      </c>
      <c r="B27" s="1325" t="s">
        <v>1118</v>
      </c>
      <c r="C27" s="1325">
        <f>C28+C29</f>
        <v>0</v>
      </c>
      <c r="D27" s="1325"/>
      <c r="E27" s="3419"/>
      <c r="F27" s="3419"/>
      <c r="G27" s="3419"/>
    </row>
    <row r="28" spans="1:9">
      <c r="A28" s="1326" t="s">
        <v>1119</v>
      </c>
      <c r="B28" s="1325" t="s">
        <v>1120</v>
      </c>
      <c r="C28" s="1325"/>
      <c r="D28" s="1325"/>
      <c r="E28" s="3419"/>
      <c r="F28" s="3419"/>
      <c r="G28" s="341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10"/>
      <c r="F32" s="3410"/>
      <c r="G32" s="3410"/>
    </row>
    <row r="33" spans="1:7" hidden="1">
      <c r="A33" s="3420" t="s">
        <v>1129</v>
      </c>
      <c r="B33" s="3421"/>
      <c r="C33" s="3421"/>
      <c r="D33" s="3422"/>
      <c r="E33" s="3418"/>
      <c r="F33" s="3418"/>
      <c r="G33" s="3418"/>
    </row>
    <row r="34" spans="1:7" hidden="1">
      <c r="A34" s="1328">
        <v>1</v>
      </c>
      <c r="B34" s="1325" t="s">
        <v>1130</v>
      </c>
      <c r="C34" s="1325"/>
      <c r="D34" s="1325"/>
      <c r="E34" s="3419"/>
      <c r="F34" s="3419"/>
      <c r="G34" s="3419"/>
    </row>
    <row r="35" spans="1:7" hidden="1">
      <c r="A35" s="1328">
        <v>2</v>
      </c>
      <c r="B35" s="1325" t="s">
        <v>1131</v>
      </c>
      <c r="C35" s="1325"/>
      <c r="D35" s="1325"/>
      <c r="E35" s="3419"/>
      <c r="F35" s="3419"/>
      <c r="G35" s="3419"/>
    </row>
    <row r="36" spans="1:7" hidden="1">
      <c r="A36" s="1328">
        <v>3</v>
      </c>
      <c r="B36" s="1325" t="s">
        <v>1132</v>
      </c>
      <c r="C36" s="1325"/>
      <c r="D36" s="1325"/>
      <c r="E36" s="3419"/>
      <c r="F36" s="3419"/>
      <c r="G36" s="3419"/>
    </row>
    <row r="37" spans="1:7" hidden="1">
      <c r="A37" s="1328">
        <v>4</v>
      </c>
      <c r="B37" s="1325" t="s">
        <v>1133</v>
      </c>
      <c r="C37" s="1325"/>
      <c r="D37" s="1325"/>
      <c r="E37" s="3419"/>
      <c r="F37" s="3419"/>
      <c r="G37" s="3419"/>
    </row>
    <row r="38" spans="1:7" hidden="1">
      <c r="A38" s="3420" t="s">
        <v>1134</v>
      </c>
      <c r="B38" s="3421"/>
      <c r="C38" s="3421"/>
      <c r="D38" s="3422"/>
      <c r="E38" s="3418"/>
      <c r="F38" s="3418"/>
      <c r="G38" s="34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0" t="s">
        <v>2637</v>
      </c>
      <c r="C1" s="1634" t="s">
        <v>2525</v>
      </c>
      <c r="D1" s="1621"/>
      <c r="E1" s="2653"/>
      <c r="F1" s="2582"/>
      <c r="G1" s="1631" t="s">
        <v>2638</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2327</v>
      </c>
      <c r="B3" s="609" t="e">
        <f ca="1">IF(C2="——",C49,ROUND(B2*10000/D3,0))</f>
        <v>#DIV/0!</v>
      </c>
      <c r="C3" s="400" t="s">
        <v>2639</v>
      </c>
      <c r="D3" s="399">
        <f>IF(D1="",'数据-汇总表'!E3,SUMIF('数据-汇总表'!$C19:$C33,D1,'数据-汇总表'!$E19:$E33))</f>
        <v>117348.15999999993</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331" t="s">
        <v>2641</v>
      </c>
      <c r="D4" s="3332"/>
      <c r="E4" s="3333" t="s">
        <v>2642</v>
      </c>
      <c r="F4" s="3334"/>
      <c r="G4" s="3331" t="s">
        <v>2643</v>
      </c>
      <c r="H4" s="3332"/>
      <c r="I4" s="3331" t="s">
        <v>2644</v>
      </c>
      <c r="J4" s="3332"/>
      <c r="K4" s="610" t="s">
        <v>2645</v>
      </c>
      <c r="L4" s="1130"/>
      <c r="M4" s="1131"/>
      <c r="N4" s="1131"/>
      <c r="O4" s="1131"/>
      <c r="P4" s="3335" t="s">
        <v>2646</v>
      </c>
      <c r="Q4" s="3336"/>
      <c r="R4" s="3318" t="s">
        <v>2642</v>
      </c>
      <c r="S4" s="3319"/>
      <c r="T4" s="3318" t="s">
        <v>2643</v>
      </c>
      <c r="U4" s="3319"/>
      <c r="V4" s="3343" t="s">
        <v>2644</v>
      </c>
      <c r="W4" s="3343"/>
      <c r="X4" s="1813"/>
      <c r="Y4" s="3318" t="s">
        <v>2646</v>
      </c>
      <c r="Z4" s="3319"/>
      <c r="AA4" s="3313" t="s">
        <v>2642</v>
      </c>
      <c r="AB4" s="3343" t="s">
        <v>2643</v>
      </c>
      <c r="AC4" s="3313" t="s">
        <v>2644</v>
      </c>
    </row>
    <row r="5" spans="1:29" ht="15">
      <c r="A5" s="404"/>
      <c r="B5" s="405"/>
      <c r="C5" s="3424" t="s">
        <v>2537</v>
      </c>
      <c r="D5" s="3325"/>
      <c r="E5" s="3423" t="s">
        <v>2538</v>
      </c>
      <c r="F5" s="3323"/>
      <c r="G5" s="3424" t="s">
        <v>2539</v>
      </c>
      <c r="H5" s="3325"/>
      <c r="I5" s="3424" t="s">
        <v>2540</v>
      </c>
      <c r="J5" s="3325"/>
      <c r="K5" s="610"/>
      <c r="L5" s="1130"/>
      <c r="M5" s="1131"/>
      <c r="N5" s="1131"/>
      <c r="O5" s="1131"/>
      <c r="P5" s="3337"/>
      <c r="Q5" s="3338"/>
      <c r="R5" s="3320"/>
      <c r="S5" s="3321"/>
      <c r="T5" s="3320"/>
      <c r="U5" s="3321"/>
      <c r="V5" s="3343"/>
      <c r="W5" s="3343"/>
      <c r="X5" s="1813"/>
      <c r="Y5" s="3320"/>
      <c r="Z5" s="3321"/>
      <c r="AA5" s="3314"/>
      <c r="AB5" s="3343"/>
      <c r="AC5" s="3314"/>
    </row>
    <row r="6" spans="1:29" ht="15.75" thickBot="1">
      <c r="A6" s="406"/>
      <c r="B6" s="407"/>
      <c r="C6" s="3425" t="s">
        <v>2541</v>
      </c>
      <c r="D6" s="3327"/>
      <c r="E6" s="3426" t="s">
        <v>2541</v>
      </c>
      <c r="F6" s="3329"/>
      <c r="G6" s="3425" t="s">
        <v>2541</v>
      </c>
      <c r="H6" s="3327"/>
      <c r="I6" s="3425" t="s">
        <v>2541</v>
      </c>
      <c r="J6" s="3327"/>
      <c r="K6" s="610" t="s">
        <v>2542</v>
      </c>
      <c r="L6" s="1130"/>
      <c r="M6" s="1131"/>
      <c r="N6" s="1131"/>
      <c r="O6" s="1131"/>
      <c r="P6" s="3339"/>
      <c r="Q6" s="3340"/>
      <c r="R6" s="3320"/>
      <c r="S6" s="3321"/>
      <c r="T6" s="3341"/>
      <c r="U6" s="3342"/>
      <c r="V6" s="3343"/>
      <c r="W6" s="3343"/>
      <c r="X6" s="1813"/>
      <c r="Y6" s="3341"/>
      <c r="Z6" s="3342"/>
      <c r="AA6" s="3315"/>
      <c r="AB6" s="3343"/>
      <c r="AC6" s="3315"/>
    </row>
    <row r="7" spans="1:29" s="117" customFormat="1" ht="15.75" thickBot="1">
      <c r="A7" s="408" t="s">
        <v>2543</v>
      </c>
      <c r="B7" s="409"/>
      <c r="C7" s="410">
        <f>'数据-取费表'!B2</f>
        <v>43111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16" t="s">
        <v>2544</v>
      </c>
      <c r="Q7" s="3344"/>
      <c r="R7" s="770" t="s">
        <v>17</v>
      </c>
      <c r="S7" s="771">
        <f t="shared" ref="S7:S15" si="0">F7</f>
        <v>0</v>
      </c>
      <c r="T7" s="770" t="s">
        <v>17</v>
      </c>
      <c r="U7" s="771">
        <f t="shared" ref="U7:U15" si="1">H7</f>
        <v>0</v>
      </c>
      <c r="V7" s="770" t="s">
        <v>17</v>
      </c>
      <c r="W7" s="771">
        <f t="shared" ref="W7:W15" si="2">J7</f>
        <v>0</v>
      </c>
      <c r="X7" s="772"/>
      <c r="Y7" s="3316" t="s">
        <v>2544</v>
      </c>
      <c r="Z7" s="3317"/>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16" t="s">
        <v>2547</v>
      </c>
      <c r="Q8" s="3317"/>
      <c r="R8" s="770" t="s">
        <v>17</v>
      </c>
      <c r="S8" s="771">
        <f t="shared" si="0"/>
        <v>0</v>
      </c>
      <c r="T8" s="770" t="s">
        <v>17</v>
      </c>
      <c r="U8" s="771">
        <f t="shared" si="1"/>
        <v>0</v>
      </c>
      <c r="V8" s="770" t="s">
        <v>17</v>
      </c>
      <c r="W8" s="771">
        <f t="shared" si="2"/>
        <v>0</v>
      </c>
      <c r="X8" s="772"/>
      <c r="Y8" s="3316" t="s">
        <v>2547</v>
      </c>
      <c r="Z8" s="3317"/>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54" t="s">
        <v>2550</v>
      </c>
      <c r="Q9" s="1795" t="str">
        <f t="shared" ref="Q9:Q15" si="6">B9</f>
        <v>用途</v>
      </c>
      <c r="R9" s="770" t="s">
        <v>17</v>
      </c>
      <c r="S9" s="771">
        <f t="shared" si="0"/>
        <v>100</v>
      </c>
      <c r="T9" s="770" t="s">
        <v>17</v>
      </c>
      <c r="U9" s="771">
        <f t="shared" si="1"/>
        <v>100</v>
      </c>
      <c r="V9" s="770" t="s">
        <v>17</v>
      </c>
      <c r="W9" s="771">
        <f t="shared" si="2"/>
        <v>100</v>
      </c>
      <c r="X9" s="772"/>
      <c r="Y9" s="317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54"/>
      <c r="Q10" s="1795" t="str">
        <f t="shared" si="6"/>
        <v>土地使用年限（年）</v>
      </c>
      <c r="R10" s="770" t="s">
        <v>17</v>
      </c>
      <c r="S10" s="771">
        <f t="shared" si="0"/>
        <v>100</v>
      </c>
      <c r="T10" s="770" t="s">
        <v>17</v>
      </c>
      <c r="U10" s="771">
        <f t="shared" si="1"/>
        <v>100</v>
      </c>
      <c r="V10" s="770" t="s">
        <v>17</v>
      </c>
      <c r="W10" s="771">
        <f t="shared" si="2"/>
        <v>100</v>
      </c>
      <c r="X10" s="772"/>
      <c r="Y10" s="317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54"/>
      <c r="Q11" s="1795" t="str">
        <f t="shared" si="6"/>
        <v>容积率</v>
      </c>
      <c r="R11" s="770" t="s">
        <v>17</v>
      </c>
      <c r="S11" s="771" t="e">
        <f t="shared" si="0"/>
        <v>#N/A</v>
      </c>
      <c r="T11" s="770" t="s">
        <v>17</v>
      </c>
      <c r="U11" s="771" t="e">
        <f t="shared" si="1"/>
        <v>#N/A</v>
      </c>
      <c r="V11" s="770" t="s">
        <v>17</v>
      </c>
      <c r="W11" s="771" t="e">
        <f t="shared" si="2"/>
        <v>#N/A</v>
      </c>
      <c r="X11" s="772"/>
      <c r="Y11" s="317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54"/>
      <c r="Q12" s="1795">
        <f t="shared" si="6"/>
        <v>111</v>
      </c>
      <c r="R12" s="770" t="s">
        <v>17</v>
      </c>
      <c r="S12" s="771">
        <f t="shared" si="0"/>
        <v>100</v>
      </c>
      <c r="T12" s="770" t="s">
        <v>17</v>
      </c>
      <c r="U12" s="771">
        <f t="shared" si="1"/>
        <v>100</v>
      </c>
      <c r="V12" s="770" t="s">
        <v>17</v>
      </c>
      <c r="W12" s="771">
        <f t="shared" si="2"/>
        <v>100</v>
      </c>
      <c r="X12" s="772"/>
      <c r="Y12" s="3171"/>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54"/>
      <c r="Q13" s="1795">
        <f t="shared" si="6"/>
        <v>111</v>
      </c>
      <c r="R13" s="770" t="s">
        <v>17</v>
      </c>
      <c r="S13" s="771">
        <f t="shared" si="0"/>
        <v>100</v>
      </c>
      <c r="T13" s="770" t="s">
        <v>17</v>
      </c>
      <c r="U13" s="771">
        <f t="shared" si="1"/>
        <v>100</v>
      </c>
      <c r="V13" s="770" t="s">
        <v>17</v>
      </c>
      <c r="W13" s="771">
        <f t="shared" si="2"/>
        <v>100</v>
      </c>
      <c r="X13" s="772"/>
      <c r="Y13" s="3171"/>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54"/>
      <c r="Q14" s="1795">
        <f t="shared" si="6"/>
        <v>111</v>
      </c>
      <c r="R14" s="770" t="s">
        <v>17</v>
      </c>
      <c r="S14" s="771">
        <f t="shared" si="0"/>
        <v>100</v>
      </c>
      <c r="T14" s="770" t="s">
        <v>17</v>
      </c>
      <c r="U14" s="771">
        <f t="shared" si="1"/>
        <v>100</v>
      </c>
      <c r="V14" s="770" t="s">
        <v>17</v>
      </c>
      <c r="W14" s="771">
        <f t="shared" si="2"/>
        <v>100</v>
      </c>
      <c r="X14" s="772"/>
      <c r="Y14" s="3171"/>
      <c r="Z14" s="55">
        <f t="shared" si="7"/>
        <v>111</v>
      </c>
      <c r="AA14" s="773">
        <f t="shared" si="3"/>
        <v>1</v>
      </c>
      <c r="AB14" s="773">
        <f t="shared" si="4"/>
        <v>1</v>
      </c>
      <c r="AC14" s="773">
        <f t="shared" si="5"/>
        <v>1</v>
      </c>
    </row>
    <row r="15" spans="1:29" ht="71.25">
      <c r="A15" s="440" t="s">
        <v>2554</v>
      </c>
      <c r="B15" s="69" t="s">
        <v>2648</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94" t="s">
        <v>2555</v>
      </c>
      <c r="Q15" s="1810" t="str">
        <f t="shared" si="6"/>
        <v>商业繁华度</v>
      </c>
      <c r="R15" s="774" t="s">
        <v>17</v>
      </c>
      <c r="S15" s="775">
        <f t="shared" si="0"/>
        <v>100</v>
      </c>
      <c r="T15" s="774" t="s">
        <v>17</v>
      </c>
      <c r="U15" s="775">
        <f t="shared" si="1"/>
        <v>100</v>
      </c>
      <c r="V15" s="774" t="s">
        <v>17</v>
      </c>
      <c r="W15" s="775">
        <f t="shared" si="2"/>
        <v>100</v>
      </c>
      <c r="X15" s="1813"/>
      <c r="Y15" s="3345"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95"/>
      <c r="Q16" s="1810"/>
      <c r="R16" s="774"/>
      <c r="S16" s="775"/>
      <c r="T16" s="774"/>
      <c r="U16" s="775"/>
      <c r="V16" s="774"/>
      <c r="W16" s="775"/>
      <c r="X16" s="1813"/>
      <c r="Y16" s="3346"/>
      <c r="Z16" s="1814"/>
      <c r="AA16" s="1811">
        <v>1</v>
      </c>
      <c r="AB16" s="1811">
        <v>1</v>
      </c>
      <c r="AC16" s="1811">
        <v>1</v>
      </c>
    </row>
    <row r="17" spans="1:29" ht="128.25">
      <c r="A17" s="428"/>
      <c r="B17" s="451" t="s">
        <v>2094</v>
      </c>
      <c r="C17" s="2604" t="str">
        <f>估价对象房地状况!C6</f>
        <v>估价对象多面临街，周边道路路网较为密集，公共交通通达情况较好，有417、533路等、停车便捷程度较好，综合评价交通便捷度较好。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95"/>
      <c r="Q17" s="1810" t="str">
        <f>B17</f>
        <v>交通便捷度</v>
      </c>
      <c r="R17" s="774" t="s">
        <v>17</v>
      </c>
      <c r="S17" s="775">
        <f>F17</f>
        <v>100</v>
      </c>
      <c r="T17" s="774" t="s">
        <v>17</v>
      </c>
      <c r="U17" s="775">
        <f>H17</f>
        <v>100</v>
      </c>
      <c r="V17" s="774" t="s">
        <v>17</v>
      </c>
      <c r="W17" s="775">
        <f>J17</f>
        <v>100</v>
      </c>
      <c r="X17" s="1813"/>
      <c r="Y17" s="3346"/>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95"/>
      <c r="Q18" s="1810"/>
      <c r="R18" s="774"/>
      <c r="S18" s="775"/>
      <c r="T18" s="774"/>
      <c r="U18" s="775"/>
      <c r="V18" s="774"/>
      <c r="W18" s="775"/>
      <c r="X18" s="1813"/>
      <c r="Y18" s="3346"/>
      <c r="Z18" s="1814"/>
      <c r="AA18" s="1811">
        <v>1</v>
      </c>
      <c r="AB18" s="1811">
        <v>1</v>
      </c>
      <c r="AC18" s="1811">
        <v>1</v>
      </c>
    </row>
    <row r="19" spans="1:29" ht="213.75">
      <c r="A19" s="428"/>
      <c r="B19" s="451" t="s">
        <v>2649</v>
      </c>
      <c r="C19" s="2604"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95"/>
      <c r="Q19" s="1810" t="str">
        <f>B19</f>
        <v>公共配套设施</v>
      </c>
      <c r="R19" s="774" t="s">
        <v>17</v>
      </c>
      <c r="S19" s="775">
        <f>F19</f>
        <v>100</v>
      </c>
      <c r="T19" s="774" t="s">
        <v>17</v>
      </c>
      <c r="U19" s="775">
        <f>H19</f>
        <v>100</v>
      </c>
      <c r="V19" s="774" t="s">
        <v>17</v>
      </c>
      <c r="W19" s="775">
        <f>J19</f>
        <v>100</v>
      </c>
      <c r="X19" s="1813"/>
      <c r="Y19" s="3346"/>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95"/>
      <c r="Q20" s="1810"/>
      <c r="R20" s="774"/>
      <c r="S20" s="775"/>
      <c r="T20" s="774"/>
      <c r="U20" s="775"/>
      <c r="V20" s="774"/>
      <c r="W20" s="775"/>
      <c r="X20" s="1813"/>
      <c r="Y20" s="3346"/>
      <c r="Z20" s="1814"/>
      <c r="AA20" s="1811">
        <v>1</v>
      </c>
      <c r="AB20" s="1811">
        <v>1</v>
      </c>
      <c r="AC20" s="1811">
        <v>1</v>
      </c>
    </row>
    <row r="21" spans="1:29" ht="42.75">
      <c r="A21" s="428"/>
      <c r="B21" s="1384" t="s">
        <v>2650</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95"/>
      <c r="Q21" s="1810" t="str">
        <f>B21</f>
        <v>基础设施水平</v>
      </c>
      <c r="R21" s="774" t="s">
        <v>17</v>
      </c>
      <c r="S21" s="775">
        <f>F21</f>
        <v>100</v>
      </c>
      <c r="T21" s="774" t="s">
        <v>17</v>
      </c>
      <c r="U21" s="775">
        <f>H21</f>
        <v>100</v>
      </c>
      <c r="V21" s="774" t="s">
        <v>17</v>
      </c>
      <c r="W21" s="775">
        <f>J21</f>
        <v>100</v>
      </c>
      <c r="X21" s="1813"/>
      <c r="Y21" s="3346"/>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95"/>
      <c r="Q22" s="1810"/>
      <c r="R22" s="774"/>
      <c r="S22" s="775"/>
      <c r="T22" s="774"/>
      <c r="U22" s="775"/>
      <c r="V22" s="774"/>
      <c r="W22" s="775"/>
      <c r="X22" s="1813"/>
      <c r="Y22" s="3346"/>
      <c r="Z22" s="1814"/>
      <c r="AA22" s="1811">
        <v>1</v>
      </c>
      <c r="AB22" s="1811">
        <v>1</v>
      </c>
      <c r="AC22" s="1811">
        <v>1</v>
      </c>
    </row>
    <row r="23" spans="1:29" ht="99.75">
      <c r="A23" s="428"/>
      <c r="B23" s="451" t="s">
        <v>2099</v>
      </c>
      <c r="C23" s="2660" t="str">
        <f>估价对象房地状况!C9</f>
        <v>区域自然环境：未来科技城滨河公园；人文环境：无展览馆、博物馆等；综合评价环境状况一般。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95"/>
      <c r="Q23" s="1810" t="str">
        <f>B23</f>
        <v>自然及人文环境</v>
      </c>
      <c r="R23" s="774" t="s">
        <v>17</v>
      </c>
      <c r="S23" s="775">
        <f>F23</f>
        <v>100</v>
      </c>
      <c r="T23" s="774" t="s">
        <v>17</v>
      </c>
      <c r="U23" s="775">
        <f>H23</f>
        <v>100</v>
      </c>
      <c r="V23" s="774" t="s">
        <v>17</v>
      </c>
      <c r="W23" s="775">
        <f>J23</f>
        <v>100</v>
      </c>
      <c r="X23" s="1813"/>
      <c r="Y23" s="3346"/>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95"/>
      <c r="Q24" s="1810"/>
      <c r="R24" s="774"/>
      <c r="S24" s="775"/>
      <c r="T24" s="774"/>
      <c r="U24" s="775"/>
      <c r="V24" s="774"/>
      <c r="W24" s="775"/>
      <c r="X24" s="1813"/>
      <c r="Y24" s="3346"/>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95"/>
      <c r="Q25" s="1810" t="str">
        <f t="shared" ref="Q25:Q46" si="11">B25</f>
        <v>临街状况</v>
      </c>
      <c r="R25" s="774" t="s">
        <v>17</v>
      </c>
      <c r="S25" s="775">
        <f>F25</f>
        <v>100</v>
      </c>
      <c r="T25" s="774" t="s">
        <v>17</v>
      </c>
      <c r="U25" s="775">
        <f>H25</f>
        <v>100</v>
      </c>
      <c r="V25" s="774" t="s">
        <v>17</v>
      </c>
      <c r="W25" s="775">
        <f>J25</f>
        <v>100</v>
      </c>
      <c r="X25" s="1813"/>
      <c r="Y25" s="3346"/>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95"/>
      <c r="Q26" s="1810" t="str">
        <f t="shared" si="11"/>
        <v>平面位置/可视性</v>
      </c>
      <c r="R26" s="774" t="s">
        <v>17</v>
      </c>
      <c r="S26" s="775">
        <f>F26</f>
        <v>100</v>
      </c>
      <c r="T26" s="774" t="s">
        <v>17</v>
      </c>
      <c r="U26" s="775">
        <f>H26</f>
        <v>100</v>
      </c>
      <c r="V26" s="774" t="s">
        <v>17</v>
      </c>
      <c r="W26" s="775">
        <f>J26</f>
        <v>100</v>
      </c>
      <c r="X26" s="1813"/>
      <c r="Y26" s="3346"/>
      <c r="Z26" s="1814" t="str">
        <f>Q26</f>
        <v>平面位置/可视性</v>
      </c>
      <c r="AA26" s="1811">
        <f t="shared" si="3"/>
        <v>1</v>
      </c>
      <c r="AB26" s="1811">
        <f t="shared" si="4"/>
        <v>1</v>
      </c>
      <c r="AC26" s="1811">
        <f t="shared" si="5"/>
        <v>1</v>
      </c>
    </row>
    <row r="27" spans="1:29" s="117" customFormat="1" ht="15">
      <c r="A27" s="431"/>
      <c r="B27" s="451" t="s">
        <v>2653</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395"/>
      <c r="Q27" s="1795" t="str">
        <f t="shared" si="11"/>
        <v>人流量</v>
      </c>
      <c r="R27" s="770" t="s">
        <v>17</v>
      </c>
      <c r="S27" s="771">
        <f>F27</f>
        <v>100</v>
      </c>
      <c r="T27" s="770" t="s">
        <v>17</v>
      </c>
      <c r="U27" s="771">
        <f>H27</f>
        <v>100</v>
      </c>
      <c r="V27" s="770" t="s">
        <v>17</v>
      </c>
      <c r="W27" s="771">
        <f>J27</f>
        <v>100</v>
      </c>
      <c r="X27" s="772"/>
      <c r="Y27" s="3346"/>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9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4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95"/>
      <c r="Q29" s="1810">
        <f t="shared" si="11"/>
        <v>111</v>
      </c>
      <c r="R29" s="774" t="s">
        <v>17</v>
      </c>
      <c r="S29" s="775">
        <f t="shared" si="12"/>
        <v>100</v>
      </c>
      <c r="T29" s="774" t="s">
        <v>17</v>
      </c>
      <c r="U29" s="775">
        <f t="shared" si="13"/>
        <v>100</v>
      </c>
      <c r="V29" s="774" t="s">
        <v>17</v>
      </c>
      <c r="W29" s="775">
        <f t="shared" si="14"/>
        <v>100</v>
      </c>
      <c r="X29" s="1813"/>
      <c r="Y29" s="334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95"/>
      <c r="Q30" s="1810">
        <f t="shared" si="11"/>
        <v>111</v>
      </c>
      <c r="R30" s="774" t="s">
        <v>17</v>
      </c>
      <c r="S30" s="775">
        <f t="shared" si="12"/>
        <v>100</v>
      </c>
      <c r="T30" s="774" t="s">
        <v>17</v>
      </c>
      <c r="U30" s="775">
        <f t="shared" si="13"/>
        <v>100</v>
      </c>
      <c r="V30" s="774" t="s">
        <v>17</v>
      </c>
      <c r="W30" s="775">
        <f t="shared" si="14"/>
        <v>100</v>
      </c>
      <c r="X30" s="1813"/>
      <c r="Y30" s="334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95"/>
      <c r="Q31" s="1810">
        <f t="shared" si="11"/>
        <v>111</v>
      </c>
      <c r="R31" s="774" t="s">
        <v>17</v>
      </c>
      <c r="S31" s="775">
        <f t="shared" si="12"/>
        <v>100</v>
      </c>
      <c r="T31" s="774" t="s">
        <v>17</v>
      </c>
      <c r="U31" s="775">
        <f t="shared" si="13"/>
        <v>100</v>
      </c>
      <c r="V31" s="774" t="s">
        <v>17</v>
      </c>
      <c r="W31" s="775">
        <f t="shared" si="14"/>
        <v>100</v>
      </c>
      <c r="X31" s="1813"/>
      <c r="Y31" s="3346"/>
      <c r="Z31" s="1814">
        <f t="shared" si="15"/>
        <v>111</v>
      </c>
      <c r="AA31" s="1811">
        <f t="shared" si="3"/>
        <v>1</v>
      </c>
      <c r="AB31" s="1811">
        <f t="shared" si="4"/>
        <v>1</v>
      </c>
      <c r="AC31" s="1811">
        <f t="shared" si="5"/>
        <v>1</v>
      </c>
    </row>
    <row r="32" spans="1:29" ht="15">
      <c r="A32" s="440" t="s">
        <v>2558</v>
      </c>
      <c r="B32" s="71" t="s">
        <v>2655</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90" t="s">
        <v>2560</v>
      </c>
      <c r="Q32" s="1810" t="str">
        <f t="shared" si="11"/>
        <v>商业类型</v>
      </c>
      <c r="R32" s="774" t="s">
        <v>17</v>
      </c>
      <c r="S32" s="775">
        <f t="shared" si="12"/>
        <v>100</v>
      </c>
      <c r="T32" s="774" t="s">
        <v>17</v>
      </c>
      <c r="U32" s="775">
        <f t="shared" si="13"/>
        <v>100</v>
      </c>
      <c r="V32" s="774" t="s">
        <v>17</v>
      </c>
      <c r="W32" s="775">
        <f t="shared" si="14"/>
        <v>100</v>
      </c>
      <c r="X32" s="1813"/>
      <c r="Y32" s="3348"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91"/>
      <c r="Q33" s="776" t="str">
        <f t="shared" si="11"/>
        <v>项目建筑规模</v>
      </c>
      <c r="R33" s="777" t="s">
        <v>17</v>
      </c>
      <c r="S33" s="778" t="e">
        <f t="shared" si="12"/>
        <v>#N/A</v>
      </c>
      <c r="T33" s="777" t="s">
        <v>17</v>
      </c>
      <c r="U33" s="778" t="e">
        <f t="shared" si="13"/>
        <v>#N/A</v>
      </c>
      <c r="V33" s="777" t="s">
        <v>17</v>
      </c>
      <c r="W33" s="778" t="e">
        <f t="shared" si="14"/>
        <v>#N/A</v>
      </c>
      <c r="X33" s="779"/>
      <c r="Y33" s="3348"/>
      <c r="Z33" s="780" t="str">
        <f t="shared" si="15"/>
        <v>项目建筑规模</v>
      </c>
      <c r="AA33" s="1811" t="e">
        <f t="shared" si="3"/>
        <v>#N/A</v>
      </c>
      <c r="AB33" s="1811" t="e">
        <f t="shared" si="4"/>
        <v>#N/A</v>
      </c>
      <c r="AC33" s="1811" t="e">
        <f t="shared" si="5"/>
        <v>#N/A</v>
      </c>
    </row>
    <row r="34" spans="1:29" ht="15">
      <c r="A34" s="472"/>
      <c r="B34" s="422" t="s">
        <v>2562</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391"/>
      <c r="Q34" s="1810" t="str">
        <f t="shared" si="11"/>
        <v>建筑结构</v>
      </c>
      <c r="R34" s="774" t="s">
        <v>17</v>
      </c>
      <c r="S34" s="775">
        <f t="shared" si="12"/>
        <v>100</v>
      </c>
      <c r="T34" s="774" t="s">
        <v>17</v>
      </c>
      <c r="U34" s="775">
        <f t="shared" si="13"/>
        <v>100</v>
      </c>
      <c r="V34" s="774" t="s">
        <v>17</v>
      </c>
      <c r="W34" s="775">
        <f t="shared" si="14"/>
        <v>100</v>
      </c>
      <c r="X34" s="1813"/>
      <c r="Y34" s="3348"/>
      <c r="Z34" s="1814" t="str">
        <f t="shared" si="15"/>
        <v>建筑结构</v>
      </c>
      <c r="AA34" s="1811">
        <f t="shared" si="3"/>
        <v>1</v>
      </c>
      <c r="AB34" s="1811">
        <f t="shared" si="4"/>
        <v>1</v>
      </c>
      <c r="AC34" s="1811">
        <f t="shared" si="5"/>
        <v>1</v>
      </c>
    </row>
    <row r="35" spans="1:29" ht="15">
      <c r="A35" s="472"/>
      <c r="B35" s="422" t="s">
        <v>2656</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91"/>
      <c r="Q35" s="1810" t="str">
        <f t="shared" si="11"/>
        <v>公共部分装修</v>
      </c>
      <c r="R35" s="774" t="s">
        <v>17</v>
      </c>
      <c r="S35" s="775">
        <f t="shared" si="12"/>
        <v>100</v>
      </c>
      <c r="T35" s="774" t="s">
        <v>17</v>
      </c>
      <c r="U35" s="775">
        <f t="shared" si="13"/>
        <v>100</v>
      </c>
      <c r="V35" s="774" t="s">
        <v>17</v>
      </c>
      <c r="W35" s="775">
        <f t="shared" si="14"/>
        <v>100</v>
      </c>
      <c r="X35" s="1813"/>
      <c r="Y35" s="3348"/>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91"/>
      <c r="Q36" s="1810" t="str">
        <f t="shared" si="11"/>
        <v>成新度</v>
      </c>
      <c r="R36" s="774" t="s">
        <v>17</v>
      </c>
      <c r="S36" s="775" t="e">
        <f t="shared" si="12"/>
        <v>#N/A</v>
      </c>
      <c r="T36" s="774" t="s">
        <v>17</v>
      </c>
      <c r="U36" s="775" t="e">
        <f t="shared" si="13"/>
        <v>#N/A</v>
      </c>
      <c r="V36" s="774" t="s">
        <v>17</v>
      </c>
      <c r="W36" s="775" t="e">
        <f t="shared" si="14"/>
        <v>#N/A</v>
      </c>
      <c r="X36" s="1813"/>
      <c r="Y36" s="3348"/>
      <c r="Z36" s="1814" t="str">
        <f t="shared" si="15"/>
        <v>成新度</v>
      </c>
      <c r="AA36" s="1811" t="e">
        <f t="shared" si="3"/>
        <v>#N/A</v>
      </c>
      <c r="AB36" s="1811" t="e">
        <f t="shared" si="4"/>
        <v>#N/A</v>
      </c>
      <c r="AC36" s="1811" t="e">
        <f t="shared" si="5"/>
        <v>#N/A</v>
      </c>
    </row>
    <row r="37" spans="1:29" s="117" customFormat="1" ht="15">
      <c r="A37" s="473"/>
      <c r="B37" s="422" t="s">
        <v>2658</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91"/>
      <c r="Q37" s="1795" t="str">
        <f t="shared" si="11"/>
        <v>市政基础设施</v>
      </c>
      <c r="R37" s="770" t="s">
        <v>17</v>
      </c>
      <c r="S37" s="771">
        <f t="shared" si="12"/>
        <v>100</v>
      </c>
      <c r="T37" s="770" t="s">
        <v>17</v>
      </c>
      <c r="U37" s="771">
        <f t="shared" si="13"/>
        <v>100</v>
      </c>
      <c r="V37" s="770" t="s">
        <v>17</v>
      </c>
      <c r="W37" s="771">
        <f t="shared" si="14"/>
        <v>100</v>
      </c>
      <c r="X37" s="772"/>
      <c r="Y37" s="3348"/>
      <c r="Z37" s="55" t="str">
        <f t="shared" si="15"/>
        <v>市政基础设施</v>
      </c>
      <c r="AA37" s="773">
        <f t="shared" si="3"/>
        <v>1</v>
      </c>
      <c r="AB37" s="773">
        <f t="shared" si="4"/>
        <v>1</v>
      </c>
      <c r="AC37" s="773">
        <f t="shared" si="5"/>
        <v>1</v>
      </c>
    </row>
    <row r="38" spans="1:29" ht="15">
      <c r="A38" s="472"/>
      <c r="B38" s="422" t="s">
        <v>2659</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91" t="s">
        <v>2560</v>
      </c>
      <c r="Q38" s="1810" t="str">
        <f t="shared" si="11"/>
        <v>业态</v>
      </c>
      <c r="R38" s="774" t="s">
        <v>17</v>
      </c>
      <c r="S38" s="775">
        <f t="shared" si="12"/>
        <v>100</v>
      </c>
      <c r="T38" s="774" t="s">
        <v>17</v>
      </c>
      <c r="U38" s="775">
        <f t="shared" si="13"/>
        <v>100</v>
      </c>
      <c r="V38" s="774" t="s">
        <v>17</v>
      </c>
      <c r="W38" s="775">
        <f t="shared" si="14"/>
        <v>100</v>
      </c>
      <c r="X38" s="1813"/>
      <c r="Y38" s="3348" t="s">
        <v>2560</v>
      </c>
      <c r="Z38" s="1814" t="str">
        <f t="shared" si="15"/>
        <v>业态</v>
      </c>
      <c r="AA38" s="1811">
        <f t="shared" si="3"/>
        <v>1</v>
      </c>
      <c r="AB38" s="1811">
        <f t="shared" si="4"/>
        <v>1</v>
      </c>
      <c r="AC38" s="1811">
        <f t="shared" si="5"/>
        <v>1</v>
      </c>
    </row>
    <row r="39" spans="1:29" ht="15">
      <c r="A39" s="472"/>
      <c r="B39" s="422" t="s">
        <v>2660</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91"/>
      <c r="Q39" s="1810" t="str">
        <f t="shared" si="11"/>
        <v>层高</v>
      </c>
      <c r="R39" s="774" t="s">
        <v>17</v>
      </c>
      <c r="S39" s="775">
        <f t="shared" si="12"/>
        <v>100</v>
      </c>
      <c r="T39" s="774" t="s">
        <v>17</v>
      </c>
      <c r="U39" s="775">
        <f t="shared" si="13"/>
        <v>100</v>
      </c>
      <c r="V39" s="774" t="s">
        <v>17</v>
      </c>
      <c r="W39" s="775">
        <f t="shared" si="14"/>
        <v>100</v>
      </c>
      <c r="X39" s="1813"/>
      <c r="Y39" s="3348"/>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1"/>
      <c r="Q40" s="1810" t="str">
        <f t="shared" si="11"/>
        <v>单套建筑面积</v>
      </c>
      <c r="R40" s="774" t="s">
        <v>17</v>
      </c>
      <c r="S40" s="775">
        <f t="shared" si="12"/>
        <v>100</v>
      </c>
      <c r="T40" s="774" t="s">
        <v>17</v>
      </c>
      <c r="U40" s="775">
        <f t="shared" si="13"/>
        <v>100</v>
      </c>
      <c r="V40" s="774" t="s">
        <v>17</v>
      </c>
      <c r="W40" s="775">
        <f t="shared" si="14"/>
        <v>100</v>
      </c>
      <c r="X40" s="1813"/>
      <c r="Y40" s="3348"/>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91"/>
      <c r="Q41" s="776" t="str">
        <f t="shared" si="11"/>
        <v>进深比</v>
      </c>
      <c r="R41" s="777" t="s">
        <v>17</v>
      </c>
      <c r="S41" s="778">
        <f t="shared" si="12"/>
        <v>100</v>
      </c>
      <c r="T41" s="777" t="s">
        <v>17</v>
      </c>
      <c r="U41" s="778">
        <f t="shared" si="13"/>
        <v>100</v>
      </c>
      <c r="V41" s="777" t="s">
        <v>17</v>
      </c>
      <c r="W41" s="778">
        <f t="shared" si="14"/>
        <v>100</v>
      </c>
      <c r="X41" s="779"/>
      <c r="Y41" s="3348"/>
      <c r="Z41" s="780" t="str">
        <f t="shared" si="15"/>
        <v>进深比</v>
      </c>
      <c r="AA41" s="1811">
        <f t="shared" si="3"/>
        <v>1</v>
      </c>
      <c r="AB41" s="1811">
        <f t="shared" si="4"/>
        <v>1</v>
      </c>
      <c r="AC41" s="1811">
        <f t="shared" si="5"/>
        <v>1</v>
      </c>
    </row>
    <row r="42" spans="1:29" ht="15">
      <c r="A42" s="472"/>
      <c r="B42" s="422" t="s">
        <v>2663</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91"/>
      <c r="Q42" s="1810" t="str">
        <f t="shared" si="11"/>
        <v>内部装修</v>
      </c>
      <c r="R42" s="774" t="s">
        <v>17</v>
      </c>
      <c r="S42" s="775">
        <f t="shared" si="12"/>
        <v>100</v>
      </c>
      <c r="T42" s="774" t="s">
        <v>17</v>
      </c>
      <c r="U42" s="775">
        <f t="shared" si="13"/>
        <v>100</v>
      </c>
      <c r="V42" s="774" t="s">
        <v>17</v>
      </c>
      <c r="W42" s="775">
        <f t="shared" si="14"/>
        <v>100</v>
      </c>
      <c r="X42" s="1813"/>
      <c r="Y42" s="3348"/>
      <c r="Z42" s="1814" t="str">
        <f t="shared" si="15"/>
        <v>内部装修</v>
      </c>
      <c r="AA42" s="1811">
        <f t="shared" si="3"/>
        <v>1</v>
      </c>
      <c r="AB42" s="1811">
        <f t="shared" si="4"/>
        <v>1</v>
      </c>
      <c r="AC42" s="1811">
        <f t="shared" si="5"/>
        <v>1</v>
      </c>
    </row>
    <row r="43" spans="1:29" ht="15">
      <c r="A43" s="472"/>
      <c r="B43" s="422" t="s">
        <v>2571</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91"/>
      <c r="Q43" s="1810" t="str">
        <f t="shared" si="11"/>
        <v>内部装修维护情况</v>
      </c>
      <c r="R43" s="774" t="s">
        <v>17</v>
      </c>
      <c r="S43" s="775">
        <f t="shared" si="12"/>
        <v>100</v>
      </c>
      <c r="T43" s="774" t="s">
        <v>17</v>
      </c>
      <c r="U43" s="775">
        <f t="shared" si="13"/>
        <v>100</v>
      </c>
      <c r="V43" s="774" t="s">
        <v>17</v>
      </c>
      <c r="W43" s="775">
        <f t="shared" si="14"/>
        <v>100</v>
      </c>
      <c r="X43" s="1813"/>
      <c r="Y43" s="334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1"/>
      <c r="Q44" s="1795">
        <f t="shared" si="11"/>
        <v>111</v>
      </c>
      <c r="R44" s="770" t="s">
        <v>17</v>
      </c>
      <c r="S44" s="771">
        <f t="shared" si="12"/>
        <v>100</v>
      </c>
      <c r="T44" s="770" t="s">
        <v>17</v>
      </c>
      <c r="U44" s="771">
        <f t="shared" si="13"/>
        <v>100</v>
      </c>
      <c r="V44" s="770" t="s">
        <v>17</v>
      </c>
      <c r="W44" s="771">
        <f t="shared" si="14"/>
        <v>100</v>
      </c>
      <c r="X44" s="772"/>
      <c r="Y44" s="334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1"/>
      <c r="Q45" s="1810">
        <f t="shared" si="11"/>
        <v>111</v>
      </c>
      <c r="R45" s="774" t="s">
        <v>17</v>
      </c>
      <c r="S45" s="775">
        <f t="shared" si="12"/>
        <v>100</v>
      </c>
      <c r="T45" s="774" t="s">
        <v>17</v>
      </c>
      <c r="U45" s="775">
        <f t="shared" si="13"/>
        <v>100</v>
      </c>
      <c r="V45" s="774" t="s">
        <v>17</v>
      </c>
      <c r="W45" s="775">
        <f t="shared" si="14"/>
        <v>100</v>
      </c>
      <c r="X45" s="1813"/>
      <c r="Y45" s="3348"/>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2"/>
      <c r="Q46" s="1810">
        <f t="shared" si="11"/>
        <v>111</v>
      </c>
      <c r="R46" s="774" t="s">
        <v>17</v>
      </c>
      <c r="S46" s="775">
        <f t="shared" si="12"/>
        <v>100</v>
      </c>
      <c r="T46" s="774" t="s">
        <v>17</v>
      </c>
      <c r="U46" s="775">
        <f t="shared" si="13"/>
        <v>100</v>
      </c>
      <c r="V46" s="774" t="s">
        <v>17</v>
      </c>
      <c r="W46" s="775">
        <f t="shared" si="14"/>
        <v>100</v>
      </c>
      <c r="X46" s="1813"/>
      <c r="Y46" s="3393"/>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330" t="str">
        <f>A47</f>
        <v>成交单价（元/平方米）</v>
      </c>
      <c r="Q47" s="3330"/>
      <c r="R47" s="3343">
        <f>E47</f>
        <v>0</v>
      </c>
      <c r="S47" s="3343"/>
      <c r="T47" s="3343">
        <f>G47</f>
        <v>0</v>
      </c>
      <c r="U47" s="3343"/>
      <c r="V47" s="3343">
        <f>I47</f>
        <v>0</v>
      </c>
      <c r="W47" s="3343"/>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330" t="str">
        <f>A48</f>
        <v>比较价值（元/平方米）</v>
      </c>
      <c r="Q48" s="3330"/>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350" t="str">
        <f>A49</f>
        <v>估价对象XX用房的比较价值（楼面单价，元/平方米）</v>
      </c>
      <c r="Q49" s="3351"/>
      <c r="R49" s="3388" t="e">
        <f>IF(F1="售价",ROUND(AVERAGE(R48:V48),0),ROUND(AVERAGE(R48:V48),1))</f>
        <v>#DIV/0!</v>
      </c>
      <c r="S49" s="3388"/>
      <c r="T49" s="3388"/>
      <c r="U49" s="3388"/>
      <c r="V49" s="3388"/>
      <c r="W49" s="33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2543</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2611</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2679</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2681</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117348.15999999993</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331" t="s">
        <v>2641</v>
      </c>
      <c r="D4" s="3332"/>
      <c r="E4" s="3333" t="s">
        <v>2642</v>
      </c>
      <c r="F4" s="3334"/>
      <c r="G4" s="3331" t="s">
        <v>2643</v>
      </c>
      <c r="H4" s="3332"/>
      <c r="I4" s="3331" t="s">
        <v>2644</v>
      </c>
      <c r="J4" s="3332"/>
      <c r="K4" s="610" t="s">
        <v>2645</v>
      </c>
      <c r="L4" s="1130"/>
      <c r="M4" s="1131"/>
      <c r="N4" s="1131"/>
      <c r="O4" s="1131"/>
      <c r="P4" s="3433" t="s">
        <v>2646</v>
      </c>
      <c r="Q4" s="3434"/>
      <c r="R4" s="3428" t="s">
        <v>2642</v>
      </c>
      <c r="S4" s="3429"/>
      <c r="T4" s="3428" t="s">
        <v>2643</v>
      </c>
      <c r="U4" s="3429"/>
      <c r="V4" s="3437" t="s">
        <v>2644</v>
      </c>
      <c r="W4" s="3437"/>
      <c r="X4" s="2666"/>
      <c r="Y4" s="3428" t="s">
        <v>2646</v>
      </c>
      <c r="Z4" s="3429"/>
      <c r="AA4" s="3427" t="s">
        <v>2642</v>
      </c>
      <c r="AB4" s="3427" t="s">
        <v>2643</v>
      </c>
      <c r="AC4" s="3430" t="s">
        <v>2644</v>
      </c>
    </row>
    <row r="5" spans="1:29" ht="15">
      <c r="A5" s="404"/>
      <c r="B5" s="405"/>
      <c r="C5" s="3424" t="s">
        <v>2537</v>
      </c>
      <c r="D5" s="3325"/>
      <c r="E5" s="3423" t="s">
        <v>2538</v>
      </c>
      <c r="F5" s="3323"/>
      <c r="G5" s="3424" t="s">
        <v>2539</v>
      </c>
      <c r="H5" s="3325"/>
      <c r="I5" s="3424" t="s">
        <v>2540</v>
      </c>
      <c r="J5" s="3325"/>
      <c r="K5" s="610"/>
      <c r="L5" s="1130"/>
      <c r="M5" s="1131"/>
      <c r="N5" s="1131"/>
      <c r="O5" s="1131"/>
      <c r="P5" s="3435"/>
      <c r="Q5" s="3338"/>
      <c r="R5" s="3320"/>
      <c r="S5" s="3321"/>
      <c r="T5" s="3320"/>
      <c r="U5" s="3321"/>
      <c r="V5" s="3343"/>
      <c r="W5" s="3343"/>
      <c r="X5" s="1813"/>
      <c r="Y5" s="3320"/>
      <c r="Z5" s="3321"/>
      <c r="AA5" s="3314"/>
      <c r="AB5" s="3314"/>
      <c r="AC5" s="3431"/>
    </row>
    <row r="6" spans="1:29" ht="15.75" thickBot="1">
      <c r="A6" s="406"/>
      <c r="B6" s="407"/>
      <c r="C6" s="3425" t="s">
        <v>2541</v>
      </c>
      <c r="D6" s="3327"/>
      <c r="E6" s="3426" t="s">
        <v>2541</v>
      </c>
      <c r="F6" s="3329"/>
      <c r="G6" s="3425" t="s">
        <v>2541</v>
      </c>
      <c r="H6" s="3327"/>
      <c r="I6" s="3425" t="s">
        <v>2541</v>
      </c>
      <c r="J6" s="3327"/>
      <c r="K6" s="610" t="s">
        <v>2542</v>
      </c>
      <c r="L6" s="1130"/>
      <c r="M6" s="1131"/>
      <c r="N6" s="1131"/>
      <c r="O6" s="1131"/>
      <c r="P6" s="3436"/>
      <c r="Q6" s="3340"/>
      <c r="R6" s="3320"/>
      <c r="S6" s="3321"/>
      <c r="T6" s="3341"/>
      <c r="U6" s="3342"/>
      <c r="V6" s="3343"/>
      <c r="W6" s="3343"/>
      <c r="X6" s="1813"/>
      <c r="Y6" s="3341"/>
      <c r="Z6" s="3342"/>
      <c r="AA6" s="3315"/>
      <c r="AB6" s="3315"/>
      <c r="AC6" s="3432"/>
    </row>
    <row r="7" spans="1:29" s="117" customFormat="1" ht="15.75" thickBot="1">
      <c r="A7" s="408" t="s">
        <v>2543</v>
      </c>
      <c r="B7" s="409"/>
      <c r="C7" s="410">
        <f>'数据-取费表'!B2</f>
        <v>43111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38" t="s">
        <v>2544</v>
      </c>
      <c r="Q7" s="3344"/>
      <c r="R7" s="770" t="s">
        <v>17</v>
      </c>
      <c r="S7" s="771">
        <f t="shared" ref="S7:S15" si="0">F7</f>
        <v>0</v>
      </c>
      <c r="T7" s="770" t="s">
        <v>17</v>
      </c>
      <c r="U7" s="771">
        <f t="shared" ref="U7:U15" si="1">H7</f>
        <v>0</v>
      </c>
      <c r="V7" s="770" t="s">
        <v>17</v>
      </c>
      <c r="W7" s="771">
        <f t="shared" ref="W7:W15" si="2">J7</f>
        <v>0</v>
      </c>
      <c r="X7" s="772"/>
      <c r="Y7" s="3316" t="s">
        <v>2544</v>
      </c>
      <c r="Z7" s="3317"/>
      <c r="AA7" s="773" t="e">
        <f>D7/F7</f>
        <v>#DIV/0!</v>
      </c>
      <c r="AB7" s="773"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38" t="s">
        <v>2547</v>
      </c>
      <c r="Q8" s="3317"/>
      <c r="R8" s="770" t="s">
        <v>17</v>
      </c>
      <c r="S8" s="771">
        <f t="shared" si="0"/>
        <v>0</v>
      </c>
      <c r="T8" s="770" t="s">
        <v>17</v>
      </c>
      <c r="U8" s="771">
        <f t="shared" si="1"/>
        <v>0</v>
      </c>
      <c r="V8" s="770" t="s">
        <v>17</v>
      </c>
      <c r="W8" s="771">
        <f t="shared" si="2"/>
        <v>0</v>
      </c>
      <c r="X8" s="772"/>
      <c r="Y8" s="3316" t="s">
        <v>2547</v>
      </c>
      <c r="Z8" s="3317"/>
      <c r="AA8" s="773" t="e">
        <f t="shared" ref="AA8:AA47" si="3">D8/F8</f>
        <v>#DIV/0!</v>
      </c>
      <c r="AB8" s="773"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54" t="s">
        <v>2550</v>
      </c>
      <c r="Q9" s="1795" t="str">
        <f t="shared" ref="Q9:Q15" si="6">B9</f>
        <v>用途</v>
      </c>
      <c r="R9" s="770" t="s">
        <v>17</v>
      </c>
      <c r="S9" s="771">
        <f t="shared" si="0"/>
        <v>100</v>
      </c>
      <c r="T9" s="770" t="s">
        <v>17</v>
      </c>
      <c r="U9" s="771">
        <f t="shared" si="1"/>
        <v>100</v>
      </c>
      <c r="V9" s="770" t="s">
        <v>17</v>
      </c>
      <c r="W9" s="771">
        <f t="shared" si="2"/>
        <v>100</v>
      </c>
      <c r="X9" s="772"/>
      <c r="Y9" s="3171" t="s">
        <v>2551</v>
      </c>
      <c r="Z9" s="55" t="str">
        <f t="shared" ref="Z9:Z15" si="7">Q9</f>
        <v>用途</v>
      </c>
      <c r="AA9" s="773">
        <f t="shared" si="3"/>
        <v>1</v>
      </c>
      <c r="AB9" s="773">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54"/>
      <c r="Q10" s="1795" t="str">
        <f t="shared" si="6"/>
        <v>土地使用年限（年）</v>
      </c>
      <c r="R10" s="770" t="s">
        <v>17</v>
      </c>
      <c r="S10" s="771">
        <f t="shared" si="0"/>
        <v>100</v>
      </c>
      <c r="T10" s="770" t="s">
        <v>17</v>
      </c>
      <c r="U10" s="771">
        <f t="shared" si="1"/>
        <v>100</v>
      </c>
      <c r="V10" s="770" t="s">
        <v>17</v>
      </c>
      <c r="W10" s="771">
        <f t="shared" si="2"/>
        <v>100</v>
      </c>
      <c r="X10" s="772"/>
      <c r="Y10" s="3171"/>
      <c r="Z10" s="55" t="str">
        <f t="shared" si="7"/>
        <v>土地使用年限（年）</v>
      </c>
      <c r="AA10" s="773">
        <f t="shared" si="3"/>
        <v>1</v>
      </c>
      <c r="AB10" s="773">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54"/>
      <c r="Q11" s="1795" t="str">
        <f t="shared" si="6"/>
        <v>容积率</v>
      </c>
      <c r="R11" s="770" t="s">
        <v>17</v>
      </c>
      <c r="S11" s="771" t="e">
        <f t="shared" si="0"/>
        <v>#N/A</v>
      </c>
      <c r="T11" s="770" t="s">
        <v>17</v>
      </c>
      <c r="U11" s="771" t="e">
        <f t="shared" si="1"/>
        <v>#N/A</v>
      </c>
      <c r="V11" s="770" t="s">
        <v>17</v>
      </c>
      <c r="W11" s="771" t="e">
        <f t="shared" si="2"/>
        <v>#N/A</v>
      </c>
      <c r="X11" s="772"/>
      <c r="Y11" s="3171"/>
      <c r="Z11" s="55" t="str">
        <f t="shared" si="7"/>
        <v>容积率</v>
      </c>
      <c r="AA11" s="773" t="e">
        <f t="shared" si="3"/>
        <v>#N/A</v>
      </c>
      <c r="AB11" s="773" t="e">
        <f t="shared" si="4"/>
        <v>#N/A</v>
      </c>
      <c r="AC11" s="2667" t="e">
        <f t="shared" si="5"/>
        <v>#N/A</v>
      </c>
    </row>
    <row r="12" spans="1:29" s="117" customFormat="1" ht="15">
      <c r="A12" s="431"/>
      <c r="B12" s="2597">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354"/>
      <c r="Q12" s="1795">
        <f t="shared" si="6"/>
        <v>111</v>
      </c>
      <c r="R12" s="770" t="s">
        <v>17</v>
      </c>
      <c r="S12" s="771">
        <f t="shared" si="0"/>
        <v>100</v>
      </c>
      <c r="T12" s="770" t="s">
        <v>17</v>
      </c>
      <c r="U12" s="771">
        <f t="shared" si="1"/>
        <v>100</v>
      </c>
      <c r="V12" s="770" t="s">
        <v>17</v>
      </c>
      <c r="W12" s="771">
        <f t="shared" si="2"/>
        <v>100</v>
      </c>
      <c r="X12" s="772"/>
      <c r="Y12" s="3171"/>
      <c r="Z12" s="55">
        <f t="shared" si="7"/>
        <v>111</v>
      </c>
      <c r="AA12" s="773">
        <f>D12/F12</f>
        <v>1</v>
      </c>
      <c r="AB12" s="773">
        <f>D12/H12</f>
        <v>1</v>
      </c>
      <c r="AC12" s="2667">
        <f>D12/J12</f>
        <v>1</v>
      </c>
    </row>
    <row r="13" spans="1:29" ht="15">
      <c r="A13" s="428"/>
      <c r="B13" s="2597">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354"/>
      <c r="Q13" s="1795">
        <f t="shared" si="6"/>
        <v>111</v>
      </c>
      <c r="R13" s="770" t="s">
        <v>17</v>
      </c>
      <c r="S13" s="771">
        <f t="shared" si="0"/>
        <v>100</v>
      </c>
      <c r="T13" s="770" t="s">
        <v>17</v>
      </c>
      <c r="U13" s="771">
        <f t="shared" si="1"/>
        <v>100</v>
      </c>
      <c r="V13" s="770" t="s">
        <v>17</v>
      </c>
      <c r="W13" s="771">
        <f t="shared" si="2"/>
        <v>100</v>
      </c>
      <c r="X13" s="772"/>
      <c r="Y13" s="3171"/>
      <c r="Z13" s="55">
        <f t="shared" si="7"/>
        <v>111</v>
      </c>
      <c r="AA13" s="773">
        <f t="shared" si="3"/>
        <v>1</v>
      </c>
      <c r="AB13" s="773">
        <f t="shared" si="4"/>
        <v>1</v>
      </c>
      <c r="AC13" s="2667">
        <f t="shared" si="5"/>
        <v>1</v>
      </c>
    </row>
    <row r="14" spans="1:29" ht="15.75" thickBot="1">
      <c r="A14" s="436"/>
      <c r="B14" s="2599">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354"/>
      <c r="Q14" s="1795">
        <f t="shared" si="6"/>
        <v>111</v>
      </c>
      <c r="R14" s="770" t="s">
        <v>17</v>
      </c>
      <c r="S14" s="771">
        <f t="shared" si="0"/>
        <v>100</v>
      </c>
      <c r="T14" s="770" t="s">
        <v>17</v>
      </c>
      <c r="U14" s="771">
        <f t="shared" si="1"/>
        <v>100</v>
      </c>
      <c r="V14" s="770" t="s">
        <v>17</v>
      </c>
      <c r="W14" s="771">
        <f t="shared" si="2"/>
        <v>100</v>
      </c>
      <c r="X14" s="772"/>
      <c r="Y14" s="3171"/>
      <c r="Z14" s="55">
        <f t="shared" si="7"/>
        <v>111</v>
      </c>
      <c r="AA14" s="773">
        <f t="shared" si="3"/>
        <v>1</v>
      </c>
      <c r="AB14" s="773">
        <f t="shared" si="4"/>
        <v>1</v>
      </c>
      <c r="AC14" s="2667">
        <f t="shared" si="5"/>
        <v>1</v>
      </c>
    </row>
    <row r="15" spans="1:29" ht="71.25">
      <c r="A15" s="440" t="s">
        <v>2554</v>
      </c>
      <c r="B15" s="629" t="s">
        <v>2682</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94" t="s">
        <v>2555</v>
      </c>
      <c r="Q15" s="1810" t="str">
        <f t="shared" si="6"/>
        <v>办公集聚程度</v>
      </c>
      <c r="R15" s="774" t="s">
        <v>17</v>
      </c>
      <c r="S15" s="775">
        <f t="shared" si="0"/>
        <v>100</v>
      </c>
      <c r="T15" s="774" t="s">
        <v>17</v>
      </c>
      <c r="U15" s="775">
        <f t="shared" si="1"/>
        <v>100</v>
      </c>
      <c r="V15" s="774" t="s">
        <v>17</v>
      </c>
      <c r="W15" s="775">
        <f t="shared" si="2"/>
        <v>100</v>
      </c>
      <c r="X15" s="1813"/>
      <c r="Y15" s="3345" t="s">
        <v>2555</v>
      </c>
      <c r="Z15" s="1814" t="str">
        <f t="shared" si="7"/>
        <v>办公集聚程度</v>
      </c>
      <c r="AA15" s="1811">
        <f t="shared" si="3"/>
        <v>1</v>
      </c>
      <c r="AB15" s="1811">
        <f t="shared" si="4"/>
        <v>1</v>
      </c>
      <c r="AC15" s="2670">
        <f t="shared" si="5"/>
        <v>1</v>
      </c>
    </row>
    <row r="16" spans="1:29" ht="15">
      <c r="A16" s="428"/>
      <c r="B16" s="630"/>
      <c r="C16" s="2608"/>
      <c r="D16" s="448"/>
      <c r="E16" s="447"/>
      <c r="F16" s="448"/>
      <c r="G16" s="2608"/>
      <c r="H16" s="450"/>
      <c r="I16" s="447"/>
      <c r="J16" s="448"/>
      <c r="K16" s="615"/>
      <c r="L16" s="1140"/>
      <c r="M16" s="1131"/>
      <c r="N16" s="1131"/>
      <c r="O16" s="1131"/>
      <c r="P16" s="3395"/>
      <c r="Q16" s="1810"/>
      <c r="R16" s="774"/>
      <c r="S16" s="775"/>
      <c r="T16" s="774"/>
      <c r="U16" s="775"/>
      <c r="V16" s="774"/>
      <c r="W16" s="775"/>
      <c r="X16" s="1813"/>
      <c r="Y16" s="3346"/>
      <c r="Z16" s="1814"/>
      <c r="AA16" s="1811">
        <v>1</v>
      </c>
      <c r="AB16" s="1811">
        <v>1</v>
      </c>
      <c r="AC16" s="2670">
        <v>1</v>
      </c>
    </row>
    <row r="17" spans="1:29" ht="114">
      <c r="A17" s="428"/>
      <c r="B17" s="631" t="s">
        <v>2094</v>
      </c>
      <c r="C17" s="2671" t="str">
        <f>估价对象房地状况!C6</f>
        <v>估价对象多面临街，周边道路路网较为密集，公共交通通达情况较好，有417、533路等、停车便捷程度较好，综合评价交通便捷度较好。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95"/>
      <c r="Q17" s="1810" t="str">
        <f>B17</f>
        <v>交通便捷度</v>
      </c>
      <c r="R17" s="774" t="s">
        <v>17</v>
      </c>
      <c r="S17" s="775">
        <f>F17</f>
        <v>100</v>
      </c>
      <c r="T17" s="774" t="s">
        <v>17</v>
      </c>
      <c r="U17" s="775">
        <f>H17</f>
        <v>100</v>
      </c>
      <c r="V17" s="774" t="s">
        <v>17</v>
      </c>
      <c r="W17" s="775">
        <f>J17</f>
        <v>100</v>
      </c>
      <c r="X17" s="1813"/>
      <c r="Y17" s="3346"/>
      <c r="Z17" s="1814" t="str">
        <f>Q17</f>
        <v>交通便捷度</v>
      </c>
      <c r="AA17" s="1811">
        <f t="shared" si="3"/>
        <v>1</v>
      </c>
      <c r="AB17" s="1811">
        <f t="shared" si="4"/>
        <v>1</v>
      </c>
      <c r="AC17" s="2670">
        <f t="shared" si="5"/>
        <v>1</v>
      </c>
    </row>
    <row r="18" spans="1:29" ht="15">
      <c r="A18" s="428"/>
      <c r="B18" s="632"/>
      <c r="C18" s="2672"/>
      <c r="D18" s="450"/>
      <c r="E18" s="2606"/>
      <c r="F18" s="450"/>
      <c r="G18" s="2607"/>
      <c r="H18" s="448"/>
      <c r="I18" s="2607"/>
      <c r="J18" s="448"/>
      <c r="K18" s="615"/>
      <c r="L18" s="1140"/>
      <c r="M18" s="1131"/>
      <c r="N18" s="1131"/>
      <c r="O18" s="1131"/>
      <c r="P18" s="3395"/>
      <c r="Q18" s="1810"/>
      <c r="R18" s="774"/>
      <c r="S18" s="775"/>
      <c r="T18" s="774"/>
      <c r="U18" s="775"/>
      <c r="V18" s="774"/>
      <c r="W18" s="775"/>
      <c r="X18" s="1813"/>
      <c r="Y18" s="3346"/>
      <c r="Z18" s="1814"/>
      <c r="AA18" s="1811">
        <v>1</v>
      </c>
      <c r="AB18" s="1811">
        <v>1</v>
      </c>
      <c r="AC18" s="2670">
        <v>1</v>
      </c>
    </row>
    <row r="19" spans="1:29" ht="185.25">
      <c r="A19" s="428"/>
      <c r="B19" s="631" t="s">
        <v>2683</v>
      </c>
      <c r="C19" s="2671"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95"/>
      <c r="Q19" s="1810" t="str">
        <f>B19</f>
        <v>公共配套设施</v>
      </c>
      <c r="R19" s="774" t="s">
        <v>17</v>
      </c>
      <c r="S19" s="775">
        <f>F19</f>
        <v>100</v>
      </c>
      <c r="T19" s="774" t="s">
        <v>17</v>
      </c>
      <c r="U19" s="775">
        <f>H19</f>
        <v>100</v>
      </c>
      <c r="V19" s="774" t="s">
        <v>17</v>
      </c>
      <c r="W19" s="775">
        <f>J19</f>
        <v>100</v>
      </c>
      <c r="X19" s="1813"/>
      <c r="Y19" s="3346"/>
      <c r="Z19" s="1814" t="str">
        <f>Q19</f>
        <v>公共配套设施</v>
      </c>
      <c r="AA19" s="1811">
        <f t="shared" si="3"/>
        <v>1</v>
      </c>
      <c r="AB19" s="1811">
        <f t="shared" si="4"/>
        <v>1</v>
      </c>
      <c r="AC19" s="2670">
        <f t="shared" si="5"/>
        <v>1</v>
      </c>
    </row>
    <row r="20" spans="1:29" ht="15">
      <c r="A20" s="428"/>
      <c r="B20" s="632"/>
      <c r="C20" s="2608"/>
      <c r="D20" s="448"/>
      <c r="E20" s="2601"/>
      <c r="F20" s="448"/>
      <c r="G20" s="2602"/>
      <c r="H20" s="448"/>
      <c r="I20" s="2602"/>
      <c r="J20" s="448"/>
      <c r="K20" s="615"/>
      <c r="L20" s="1140"/>
      <c r="M20" s="1131"/>
      <c r="N20" s="1131"/>
      <c r="O20" s="1131"/>
      <c r="P20" s="3395"/>
      <c r="Q20" s="1810"/>
      <c r="R20" s="774"/>
      <c r="S20" s="775"/>
      <c r="T20" s="774"/>
      <c r="U20" s="775"/>
      <c r="V20" s="774"/>
      <c r="W20" s="775"/>
      <c r="X20" s="1813"/>
      <c r="Y20" s="3346"/>
      <c r="Z20" s="1814"/>
      <c r="AA20" s="1811">
        <v>1</v>
      </c>
      <c r="AB20" s="1811">
        <v>1</v>
      </c>
      <c r="AC20" s="2670">
        <v>1</v>
      </c>
    </row>
    <row r="21" spans="1:29" ht="42.75">
      <c r="A21" s="428"/>
      <c r="B21" s="633" t="s">
        <v>2684</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95"/>
      <c r="Q21" s="1810" t="str">
        <f>B21</f>
        <v>基础设施水平</v>
      </c>
      <c r="R21" s="774" t="s">
        <v>17</v>
      </c>
      <c r="S21" s="775">
        <f>F21</f>
        <v>100</v>
      </c>
      <c r="T21" s="774" t="s">
        <v>17</v>
      </c>
      <c r="U21" s="775">
        <f>H21</f>
        <v>100</v>
      </c>
      <c r="V21" s="774" t="s">
        <v>17</v>
      </c>
      <c r="W21" s="775">
        <f>J21</f>
        <v>100</v>
      </c>
      <c r="X21" s="1813"/>
      <c r="Y21" s="3346"/>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8"/>
      <c r="H22" s="448"/>
      <c r="I22" s="2608"/>
      <c r="J22" s="448"/>
      <c r="K22" s="1383"/>
      <c r="L22" s="1140"/>
      <c r="M22" s="1131"/>
      <c r="N22" s="1131"/>
      <c r="O22" s="1131"/>
      <c r="P22" s="3395"/>
      <c r="Q22" s="1810"/>
      <c r="R22" s="774"/>
      <c r="S22" s="775"/>
      <c r="T22" s="774"/>
      <c r="U22" s="775"/>
      <c r="V22" s="774"/>
      <c r="W22" s="775"/>
      <c r="X22" s="1813"/>
      <c r="Y22" s="3346"/>
      <c r="Z22" s="1814"/>
      <c r="AA22" s="1811">
        <v>1</v>
      </c>
      <c r="AB22" s="1811">
        <v>1</v>
      </c>
      <c r="AC22" s="2670">
        <v>1</v>
      </c>
    </row>
    <row r="23" spans="1:29" ht="85.5">
      <c r="A23" s="428"/>
      <c r="B23" s="631" t="s">
        <v>2685</v>
      </c>
      <c r="C23" s="2671" t="str">
        <f>估价对象房地状况!C9</f>
        <v>区域自然环境：未来科技城滨河公园；人文环境：无展览馆、博物馆等；综合评价环境状况一般。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95"/>
      <c r="Q23" s="1810" t="str">
        <f>B23</f>
        <v>环境质量</v>
      </c>
      <c r="R23" s="774" t="s">
        <v>17</v>
      </c>
      <c r="S23" s="775">
        <f>F23</f>
        <v>100</v>
      </c>
      <c r="T23" s="774" t="s">
        <v>17</v>
      </c>
      <c r="U23" s="775">
        <f>H23</f>
        <v>100</v>
      </c>
      <c r="V23" s="774" t="s">
        <v>17</v>
      </c>
      <c r="W23" s="775">
        <f>J23</f>
        <v>100</v>
      </c>
      <c r="X23" s="1813"/>
      <c r="Y23" s="3346"/>
      <c r="Z23" s="1814" t="str">
        <f>Q23</f>
        <v>环境质量</v>
      </c>
      <c r="AA23" s="1811">
        <f t="shared" si="3"/>
        <v>1</v>
      </c>
      <c r="AB23" s="1811">
        <f t="shared" si="4"/>
        <v>1</v>
      </c>
      <c r="AC23" s="2670">
        <f t="shared" si="5"/>
        <v>1</v>
      </c>
    </row>
    <row r="24" spans="1:29" ht="15">
      <c r="A24" s="428"/>
      <c r="B24" s="633"/>
      <c r="C24" s="2608"/>
      <c r="D24" s="448"/>
      <c r="E24" s="2601"/>
      <c r="F24" s="448"/>
      <c r="G24" s="2602"/>
      <c r="H24" s="448"/>
      <c r="I24" s="2602"/>
      <c r="J24" s="448"/>
      <c r="K24" s="615"/>
      <c r="L24" s="1140"/>
      <c r="M24" s="1131"/>
      <c r="N24" s="1131"/>
      <c r="O24" s="1131"/>
      <c r="P24" s="3395"/>
      <c r="Q24" s="1810"/>
      <c r="R24" s="774"/>
      <c r="S24" s="775"/>
      <c r="T24" s="774"/>
      <c r="U24" s="775"/>
      <c r="V24" s="774"/>
      <c r="W24" s="775"/>
      <c r="X24" s="1813"/>
      <c r="Y24" s="3346"/>
      <c r="Z24" s="1814"/>
      <c r="AA24" s="1811">
        <v>1</v>
      </c>
      <c r="AB24" s="1811">
        <v>1</v>
      </c>
      <c r="AC24" s="2670">
        <v>1</v>
      </c>
    </row>
    <row r="25" spans="1:29" ht="27">
      <c r="A25" s="404"/>
      <c r="B25" s="631" t="s">
        <v>2686</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95"/>
      <c r="Q25" s="1810" t="str">
        <f>B25</f>
        <v>毗邻道路的类型与等级</v>
      </c>
      <c r="R25" s="774" t="s">
        <v>17</v>
      </c>
      <c r="S25" s="775">
        <f>F25</f>
        <v>100</v>
      </c>
      <c r="T25" s="774" t="s">
        <v>17</v>
      </c>
      <c r="U25" s="775">
        <f>H25</f>
        <v>100</v>
      </c>
      <c r="V25" s="774" t="s">
        <v>17</v>
      </c>
      <c r="W25" s="775">
        <f>J25</f>
        <v>100</v>
      </c>
      <c r="X25" s="1813"/>
      <c r="Y25" s="3346"/>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395"/>
      <c r="Q26" s="1810"/>
      <c r="R26" s="774"/>
      <c r="S26" s="775"/>
      <c r="T26" s="774"/>
      <c r="U26" s="775"/>
      <c r="V26" s="774"/>
      <c r="W26" s="775"/>
      <c r="X26" s="1813"/>
      <c r="Y26" s="3346"/>
      <c r="Z26" s="1814"/>
      <c r="AA26" s="1811">
        <v>1</v>
      </c>
      <c r="AB26" s="1811">
        <v>1</v>
      </c>
      <c r="AC26" s="2670">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95"/>
      <c r="Q27" s="1810" t="str">
        <f t="shared" ref="Q27:Q47" si="11">B27</f>
        <v>楼层</v>
      </c>
      <c r="R27" s="774" t="s">
        <v>17</v>
      </c>
      <c r="S27" s="775">
        <f>F27</f>
        <v>100</v>
      </c>
      <c r="T27" s="774" t="s">
        <v>17</v>
      </c>
      <c r="U27" s="775">
        <f>H27</f>
        <v>100</v>
      </c>
      <c r="V27" s="774" t="s">
        <v>17</v>
      </c>
      <c r="W27" s="775">
        <f>J27</f>
        <v>100</v>
      </c>
      <c r="X27" s="1813"/>
      <c r="Y27" s="3346"/>
      <c r="Z27" s="1814" t="str">
        <f>Q27</f>
        <v>楼层</v>
      </c>
      <c r="AA27" s="1811">
        <f t="shared" si="3"/>
        <v>1</v>
      </c>
      <c r="AB27" s="1811">
        <f t="shared" si="4"/>
        <v>1</v>
      </c>
      <c r="AC27" s="2670">
        <f t="shared" si="5"/>
        <v>1</v>
      </c>
    </row>
    <row r="28" spans="1:29" s="117" customFormat="1" ht="15">
      <c r="A28" s="431"/>
      <c r="B28" s="631"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395"/>
      <c r="Q28" s="1795" t="str">
        <f t="shared" si="11"/>
        <v>朝向</v>
      </c>
      <c r="R28" s="770" t="s">
        <v>17</v>
      </c>
      <c r="S28" s="771">
        <f>F28</f>
        <v>100</v>
      </c>
      <c r="T28" s="770" t="s">
        <v>17</v>
      </c>
      <c r="U28" s="771">
        <f>H28</f>
        <v>100</v>
      </c>
      <c r="V28" s="770" t="s">
        <v>17</v>
      </c>
      <c r="W28" s="771">
        <f>J28</f>
        <v>100</v>
      </c>
      <c r="X28" s="772"/>
      <c r="Y28" s="3346"/>
      <c r="Z28" s="55" t="str">
        <f>Q28</f>
        <v>朝向</v>
      </c>
      <c r="AA28" s="1811">
        <f>D28/F28</f>
        <v>1</v>
      </c>
      <c r="AB28" s="1811">
        <f>D28/H28</f>
        <v>1</v>
      </c>
      <c r="AC28" s="2670">
        <f>D28/J28</f>
        <v>1</v>
      </c>
    </row>
    <row r="29" spans="1:29" ht="15">
      <c r="A29" s="428"/>
      <c r="B29" s="2674">
        <v>111</v>
      </c>
      <c r="C29" s="2612"/>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395"/>
      <c r="Q29" s="1810">
        <f t="shared" si="11"/>
        <v>111</v>
      </c>
      <c r="R29" s="774" t="s">
        <v>17</v>
      </c>
      <c r="S29" s="775">
        <f t="shared" ref="S29:S47" si="12">F29</f>
        <v>100</v>
      </c>
      <c r="T29" s="774" t="s">
        <v>17</v>
      </c>
      <c r="U29" s="775">
        <f t="shared" ref="U29:U47" si="13">H29</f>
        <v>100</v>
      </c>
      <c r="V29" s="774" t="s">
        <v>17</v>
      </c>
      <c r="W29" s="775">
        <f t="shared" ref="W29:W47" si="14">J29</f>
        <v>100</v>
      </c>
      <c r="X29" s="1813"/>
      <c r="Y29" s="3346"/>
      <c r="Z29" s="1814">
        <f t="shared" ref="Z29:Z47" si="15">Q29</f>
        <v>111</v>
      </c>
      <c r="AA29" s="1811">
        <f t="shared" si="3"/>
        <v>1</v>
      </c>
      <c r="AB29" s="1811">
        <f t="shared" si="4"/>
        <v>1</v>
      </c>
      <c r="AC29" s="2670">
        <f t="shared" si="5"/>
        <v>1</v>
      </c>
    </row>
    <row r="30" spans="1:29" ht="15">
      <c r="A30" s="428"/>
      <c r="B30" s="2674">
        <v>111</v>
      </c>
      <c r="C30" s="2612"/>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395"/>
      <c r="Q30" s="1810">
        <f t="shared" si="11"/>
        <v>111</v>
      </c>
      <c r="R30" s="774" t="s">
        <v>17</v>
      </c>
      <c r="S30" s="775">
        <f t="shared" si="12"/>
        <v>100</v>
      </c>
      <c r="T30" s="774" t="s">
        <v>17</v>
      </c>
      <c r="U30" s="775">
        <f t="shared" si="13"/>
        <v>100</v>
      </c>
      <c r="V30" s="774" t="s">
        <v>17</v>
      </c>
      <c r="W30" s="775">
        <f t="shared" si="14"/>
        <v>100</v>
      </c>
      <c r="X30" s="1813"/>
      <c r="Y30" s="3346"/>
      <c r="Z30" s="1814">
        <f t="shared" si="15"/>
        <v>111</v>
      </c>
      <c r="AA30" s="1811">
        <f t="shared" si="3"/>
        <v>1</v>
      </c>
      <c r="AB30" s="1811">
        <f t="shared" si="4"/>
        <v>1</v>
      </c>
      <c r="AC30" s="2670">
        <f t="shared" si="5"/>
        <v>1</v>
      </c>
    </row>
    <row r="31" spans="1:29" ht="15">
      <c r="A31" s="428"/>
      <c r="B31" s="2674">
        <v>111</v>
      </c>
      <c r="C31" s="2612"/>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395"/>
      <c r="Q31" s="1810">
        <f t="shared" si="11"/>
        <v>111</v>
      </c>
      <c r="R31" s="774" t="s">
        <v>17</v>
      </c>
      <c r="S31" s="775">
        <f t="shared" si="12"/>
        <v>100</v>
      </c>
      <c r="T31" s="774" t="s">
        <v>17</v>
      </c>
      <c r="U31" s="775">
        <f t="shared" si="13"/>
        <v>100</v>
      </c>
      <c r="V31" s="774" t="s">
        <v>17</v>
      </c>
      <c r="W31" s="775">
        <f t="shared" si="14"/>
        <v>100</v>
      </c>
      <c r="X31" s="1813"/>
      <c r="Y31" s="3346"/>
      <c r="Z31" s="1814">
        <f t="shared" si="15"/>
        <v>111</v>
      </c>
      <c r="AA31" s="1811">
        <f t="shared" si="3"/>
        <v>1</v>
      </c>
      <c r="AB31" s="1811">
        <f t="shared" si="4"/>
        <v>1</v>
      </c>
      <c r="AC31" s="2670">
        <f t="shared" si="5"/>
        <v>1</v>
      </c>
    </row>
    <row r="32" spans="1:29" ht="15.75" thickBot="1">
      <c r="A32" s="436"/>
      <c r="B32" s="635">
        <v>111</v>
      </c>
      <c r="C32" s="2613"/>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395"/>
      <c r="Q32" s="1810">
        <f t="shared" si="11"/>
        <v>111</v>
      </c>
      <c r="R32" s="774" t="s">
        <v>17</v>
      </c>
      <c r="S32" s="775">
        <f t="shared" si="12"/>
        <v>100</v>
      </c>
      <c r="T32" s="774" t="s">
        <v>17</v>
      </c>
      <c r="U32" s="775">
        <f t="shared" si="13"/>
        <v>100</v>
      </c>
      <c r="V32" s="774" t="s">
        <v>17</v>
      </c>
      <c r="W32" s="775">
        <f t="shared" si="14"/>
        <v>100</v>
      </c>
      <c r="X32" s="1813"/>
      <c r="Y32" s="3346"/>
      <c r="Z32" s="1814">
        <f t="shared" si="15"/>
        <v>111</v>
      </c>
      <c r="AA32" s="1811">
        <f t="shared" si="3"/>
        <v>1</v>
      </c>
      <c r="AB32" s="1811">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390" t="s">
        <v>2560</v>
      </c>
      <c r="Q33" s="1810" t="str">
        <f t="shared" si="11"/>
        <v>建筑类型</v>
      </c>
      <c r="R33" s="774" t="s">
        <v>17</v>
      </c>
      <c r="S33" s="775">
        <f t="shared" si="12"/>
        <v>100</v>
      </c>
      <c r="T33" s="774" t="s">
        <v>17</v>
      </c>
      <c r="U33" s="775">
        <f t="shared" si="13"/>
        <v>100</v>
      </c>
      <c r="V33" s="774" t="s">
        <v>17</v>
      </c>
      <c r="W33" s="775">
        <f t="shared" si="14"/>
        <v>100</v>
      </c>
      <c r="X33" s="1813"/>
      <c r="Y33" s="3348" t="s">
        <v>2560</v>
      </c>
      <c r="Z33" s="1814" t="str">
        <f t="shared" si="15"/>
        <v>建筑类型</v>
      </c>
      <c r="AA33" s="1811">
        <f t="shared" si="3"/>
        <v>1</v>
      </c>
      <c r="AB33" s="1811">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91"/>
      <c r="Q34" s="776" t="str">
        <f t="shared" si="11"/>
        <v>项目建筑规模</v>
      </c>
      <c r="R34" s="777" t="s">
        <v>17</v>
      </c>
      <c r="S34" s="778" t="e">
        <f t="shared" si="12"/>
        <v>#N/A</v>
      </c>
      <c r="T34" s="777" t="s">
        <v>17</v>
      </c>
      <c r="U34" s="778" t="e">
        <f t="shared" si="13"/>
        <v>#N/A</v>
      </c>
      <c r="V34" s="777" t="s">
        <v>17</v>
      </c>
      <c r="W34" s="778" t="e">
        <f t="shared" si="14"/>
        <v>#N/A</v>
      </c>
      <c r="X34" s="779"/>
      <c r="Y34" s="3348"/>
      <c r="Z34" s="780" t="str">
        <f t="shared" si="15"/>
        <v>项目建筑规模</v>
      </c>
      <c r="AA34" s="1811" t="e">
        <f t="shared" si="3"/>
        <v>#N/A</v>
      </c>
      <c r="AB34" s="1811"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91"/>
      <c r="Q35" s="1810" t="str">
        <f t="shared" si="11"/>
        <v>建筑结构</v>
      </c>
      <c r="R35" s="774" t="s">
        <v>17</v>
      </c>
      <c r="S35" s="775">
        <f t="shared" si="12"/>
        <v>100</v>
      </c>
      <c r="T35" s="774" t="s">
        <v>17</v>
      </c>
      <c r="U35" s="775">
        <f t="shared" si="13"/>
        <v>100</v>
      </c>
      <c r="V35" s="774" t="s">
        <v>17</v>
      </c>
      <c r="W35" s="775">
        <f t="shared" si="14"/>
        <v>100</v>
      </c>
      <c r="X35" s="1813"/>
      <c r="Y35" s="3348"/>
      <c r="Z35" s="1814" t="str">
        <f t="shared" si="15"/>
        <v>建筑结构</v>
      </c>
      <c r="AA35" s="1811">
        <f t="shared" si="3"/>
        <v>1</v>
      </c>
      <c r="AB35" s="1811">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91"/>
      <c r="Q36" s="1810" t="str">
        <f t="shared" si="11"/>
        <v>公共部分装修</v>
      </c>
      <c r="R36" s="774" t="s">
        <v>17</v>
      </c>
      <c r="S36" s="775">
        <f t="shared" si="12"/>
        <v>100</v>
      </c>
      <c r="T36" s="774" t="s">
        <v>17</v>
      </c>
      <c r="U36" s="775">
        <f t="shared" si="13"/>
        <v>100</v>
      </c>
      <c r="V36" s="774" t="s">
        <v>17</v>
      </c>
      <c r="W36" s="775">
        <f t="shared" si="14"/>
        <v>100</v>
      </c>
      <c r="X36" s="1813"/>
      <c r="Y36" s="3348"/>
      <c r="Z36" s="1814" t="str">
        <f t="shared" si="15"/>
        <v>公共部分装修</v>
      </c>
      <c r="AA36" s="1811">
        <f t="shared" si="3"/>
        <v>1</v>
      </c>
      <c r="AB36" s="1811">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91"/>
      <c r="Q37" s="1810" t="str">
        <f t="shared" si="11"/>
        <v>成新度</v>
      </c>
      <c r="R37" s="774" t="s">
        <v>17</v>
      </c>
      <c r="S37" s="775" t="e">
        <f t="shared" si="12"/>
        <v>#N/A</v>
      </c>
      <c r="T37" s="774" t="s">
        <v>17</v>
      </c>
      <c r="U37" s="775" t="e">
        <f t="shared" si="13"/>
        <v>#N/A</v>
      </c>
      <c r="V37" s="774" t="s">
        <v>17</v>
      </c>
      <c r="W37" s="775" t="e">
        <f t="shared" si="14"/>
        <v>#N/A</v>
      </c>
      <c r="X37" s="1813"/>
      <c r="Y37" s="3348"/>
      <c r="Z37" s="1814" t="str">
        <f t="shared" si="15"/>
        <v>成新度</v>
      </c>
      <c r="AA37" s="1811" t="e">
        <f t="shared" si="3"/>
        <v>#N/A</v>
      </c>
      <c r="AB37" s="1811"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91"/>
      <c r="Q38" s="1795" t="str">
        <f t="shared" si="11"/>
        <v>写字楼等级</v>
      </c>
      <c r="R38" s="770" t="s">
        <v>17</v>
      </c>
      <c r="S38" s="771">
        <f t="shared" si="12"/>
        <v>100</v>
      </c>
      <c r="T38" s="770" t="s">
        <v>17</v>
      </c>
      <c r="U38" s="771">
        <f t="shared" si="13"/>
        <v>100</v>
      </c>
      <c r="V38" s="770" t="s">
        <v>17</v>
      </c>
      <c r="W38" s="771">
        <f t="shared" si="14"/>
        <v>100</v>
      </c>
      <c r="X38" s="772"/>
      <c r="Y38" s="3348"/>
      <c r="Z38" s="55" t="str">
        <f t="shared" si="15"/>
        <v>写字楼等级</v>
      </c>
      <c r="AA38" s="773">
        <f t="shared" si="3"/>
        <v>1</v>
      </c>
      <c r="AB38" s="773">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91" t="s">
        <v>2560</v>
      </c>
      <c r="Q39" s="1810" t="str">
        <f t="shared" si="11"/>
        <v>物业管理</v>
      </c>
      <c r="R39" s="774" t="s">
        <v>17</v>
      </c>
      <c r="S39" s="775">
        <f t="shared" si="12"/>
        <v>100</v>
      </c>
      <c r="T39" s="774" t="s">
        <v>17</v>
      </c>
      <c r="U39" s="775">
        <f t="shared" si="13"/>
        <v>100</v>
      </c>
      <c r="V39" s="774" t="s">
        <v>17</v>
      </c>
      <c r="W39" s="775">
        <f t="shared" si="14"/>
        <v>100</v>
      </c>
      <c r="X39" s="1813"/>
      <c r="Y39" s="3348" t="s">
        <v>2560</v>
      </c>
      <c r="Z39" s="1814" t="str">
        <f t="shared" si="15"/>
        <v>物业管理</v>
      </c>
      <c r="AA39" s="1811">
        <f t="shared" si="3"/>
        <v>1</v>
      </c>
      <c r="AB39" s="1811">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91"/>
      <c r="Q40" s="1810" t="str">
        <f t="shared" si="11"/>
        <v>市政基础设施</v>
      </c>
      <c r="R40" s="774" t="s">
        <v>17</v>
      </c>
      <c r="S40" s="775">
        <f t="shared" si="12"/>
        <v>100</v>
      </c>
      <c r="T40" s="774" t="s">
        <v>17</v>
      </c>
      <c r="U40" s="775">
        <f t="shared" si="13"/>
        <v>100</v>
      </c>
      <c r="V40" s="774" t="s">
        <v>17</v>
      </c>
      <c r="W40" s="775">
        <f t="shared" si="14"/>
        <v>100</v>
      </c>
      <c r="X40" s="1813"/>
      <c r="Y40" s="3348"/>
      <c r="Z40" s="1814" t="str">
        <f t="shared" si="15"/>
        <v>市政基础设施</v>
      </c>
      <c r="AA40" s="1811">
        <f t="shared" si="3"/>
        <v>1</v>
      </c>
      <c r="AB40" s="1811">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91"/>
      <c r="Q41" s="1810" t="str">
        <f t="shared" si="11"/>
        <v>层高</v>
      </c>
      <c r="R41" s="774" t="s">
        <v>17</v>
      </c>
      <c r="S41" s="775">
        <f t="shared" si="12"/>
        <v>100</v>
      </c>
      <c r="T41" s="774" t="s">
        <v>17</v>
      </c>
      <c r="U41" s="775">
        <f t="shared" si="13"/>
        <v>100</v>
      </c>
      <c r="V41" s="774" t="s">
        <v>17</v>
      </c>
      <c r="W41" s="775">
        <f t="shared" si="14"/>
        <v>100</v>
      </c>
      <c r="X41" s="1813"/>
      <c r="Y41" s="3348"/>
      <c r="Z41" s="1814" t="str">
        <f t="shared" si="15"/>
        <v>层高</v>
      </c>
      <c r="AA41" s="1811">
        <f t="shared" si="3"/>
        <v>1</v>
      </c>
      <c r="AB41" s="1811">
        <f t="shared" si="4"/>
        <v>1</v>
      </c>
      <c r="AC41" s="2670">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91"/>
      <c r="Q42" s="776" t="str">
        <f t="shared" si="11"/>
        <v>单套建筑面积</v>
      </c>
      <c r="R42" s="777" t="s">
        <v>17</v>
      </c>
      <c r="S42" s="778">
        <f t="shared" si="12"/>
        <v>100</v>
      </c>
      <c r="T42" s="777" t="s">
        <v>17</v>
      </c>
      <c r="U42" s="778">
        <f t="shared" si="13"/>
        <v>100</v>
      </c>
      <c r="V42" s="777" t="s">
        <v>17</v>
      </c>
      <c r="W42" s="778">
        <f t="shared" si="14"/>
        <v>100</v>
      </c>
      <c r="X42" s="779"/>
      <c r="Y42" s="3348"/>
      <c r="Z42" s="780" t="str">
        <f t="shared" si="15"/>
        <v>单套建筑面积</v>
      </c>
      <c r="AA42" s="1811">
        <f t="shared" si="3"/>
        <v>1</v>
      </c>
      <c r="AB42" s="1811">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91"/>
      <c r="Q43" s="1810" t="str">
        <f t="shared" si="11"/>
        <v>内部装修</v>
      </c>
      <c r="R43" s="774" t="s">
        <v>17</v>
      </c>
      <c r="S43" s="775">
        <f t="shared" si="12"/>
        <v>100</v>
      </c>
      <c r="T43" s="774" t="s">
        <v>17</v>
      </c>
      <c r="U43" s="775">
        <f t="shared" si="13"/>
        <v>100</v>
      </c>
      <c r="V43" s="774" t="s">
        <v>17</v>
      </c>
      <c r="W43" s="775">
        <f t="shared" si="14"/>
        <v>100</v>
      </c>
      <c r="X43" s="1813"/>
      <c r="Y43" s="3348"/>
      <c r="Z43" s="1814" t="str">
        <f t="shared" si="15"/>
        <v>内部装修</v>
      </c>
      <c r="AA43" s="1811">
        <f t="shared" si="3"/>
        <v>1</v>
      </c>
      <c r="AB43" s="1811">
        <f t="shared" si="4"/>
        <v>1</v>
      </c>
      <c r="AC43" s="2670">
        <f t="shared" si="5"/>
        <v>1</v>
      </c>
    </row>
    <row r="44" spans="1:29" ht="15">
      <c r="A44" s="472"/>
      <c r="B44" s="422" t="s">
        <v>2571</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91"/>
      <c r="Q44" s="1810" t="str">
        <f t="shared" si="11"/>
        <v>内部装修维护情况</v>
      </c>
      <c r="R44" s="774" t="s">
        <v>17</v>
      </c>
      <c r="S44" s="775">
        <f t="shared" si="12"/>
        <v>100</v>
      </c>
      <c r="T44" s="774" t="s">
        <v>17</v>
      </c>
      <c r="U44" s="775">
        <f t="shared" si="13"/>
        <v>100</v>
      </c>
      <c r="V44" s="774" t="s">
        <v>17</v>
      </c>
      <c r="W44" s="775">
        <f t="shared" si="14"/>
        <v>100</v>
      </c>
      <c r="X44" s="1813"/>
      <c r="Y44" s="3348"/>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1"/>
      <c r="Q45" s="1795">
        <f t="shared" si="11"/>
        <v>111</v>
      </c>
      <c r="R45" s="770" t="s">
        <v>17</v>
      </c>
      <c r="S45" s="771">
        <f t="shared" si="12"/>
        <v>100</v>
      </c>
      <c r="T45" s="770" t="s">
        <v>17</v>
      </c>
      <c r="U45" s="771">
        <f t="shared" si="13"/>
        <v>100</v>
      </c>
      <c r="V45" s="770" t="s">
        <v>17</v>
      </c>
      <c r="W45" s="771">
        <f t="shared" si="14"/>
        <v>100</v>
      </c>
      <c r="X45" s="772"/>
      <c r="Y45" s="3348"/>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1"/>
      <c r="Q46" s="1810">
        <f t="shared" si="11"/>
        <v>111</v>
      </c>
      <c r="R46" s="774" t="s">
        <v>17</v>
      </c>
      <c r="S46" s="775">
        <f t="shared" si="12"/>
        <v>100</v>
      </c>
      <c r="T46" s="774" t="s">
        <v>17</v>
      </c>
      <c r="U46" s="775">
        <f t="shared" si="13"/>
        <v>100</v>
      </c>
      <c r="V46" s="774" t="s">
        <v>17</v>
      </c>
      <c r="W46" s="775">
        <f t="shared" si="14"/>
        <v>100</v>
      </c>
      <c r="X46" s="1813"/>
      <c r="Y46" s="3348"/>
      <c r="Z46" s="1814">
        <f t="shared" si="15"/>
        <v>111</v>
      </c>
      <c r="AA46" s="1811">
        <f t="shared" si="3"/>
        <v>1</v>
      </c>
      <c r="AB46" s="1811">
        <f t="shared" si="4"/>
        <v>1</v>
      </c>
      <c r="AC46" s="2670">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2"/>
      <c r="Q47" s="1810">
        <f t="shared" si="11"/>
        <v>111</v>
      </c>
      <c r="R47" s="774" t="s">
        <v>17</v>
      </c>
      <c r="S47" s="775">
        <f t="shared" si="12"/>
        <v>100</v>
      </c>
      <c r="T47" s="774" t="s">
        <v>17</v>
      </c>
      <c r="U47" s="775">
        <f t="shared" si="13"/>
        <v>100</v>
      </c>
      <c r="V47" s="774" t="s">
        <v>17</v>
      </c>
      <c r="W47" s="775">
        <f t="shared" si="14"/>
        <v>100</v>
      </c>
      <c r="X47" s="1813"/>
      <c r="Y47" s="3393"/>
      <c r="Z47" s="1814">
        <f t="shared" si="15"/>
        <v>111</v>
      </c>
      <c r="AA47" s="1811">
        <f t="shared" si="3"/>
        <v>1</v>
      </c>
      <c r="AB47" s="1811">
        <f t="shared" si="4"/>
        <v>1</v>
      </c>
      <c r="AC47" s="2670">
        <f t="shared" si="5"/>
        <v>1</v>
      </c>
    </row>
    <row r="48" spans="1:29" ht="15">
      <c r="A48" s="479" t="s">
        <v>2572</v>
      </c>
      <c r="B48" s="480"/>
      <c r="C48" s="1407" t="s">
        <v>1</v>
      </c>
      <c r="D48" s="1408"/>
      <c r="E48" s="1409"/>
      <c r="F48" s="1410"/>
      <c r="G48" s="1411"/>
      <c r="H48" s="1412"/>
      <c r="I48" s="1409"/>
      <c r="J48" s="485"/>
      <c r="K48" s="783"/>
      <c r="L48" s="1143"/>
      <c r="M48" s="1131"/>
      <c r="N48" s="1131"/>
      <c r="O48" s="1131"/>
      <c r="P48" s="3354" t="str">
        <f>A48</f>
        <v>成交单价（元/平方米）</v>
      </c>
      <c r="Q48" s="3330"/>
      <c r="R48" s="3389">
        <f>E48</f>
        <v>0</v>
      </c>
      <c r="S48" s="3389"/>
      <c r="T48" s="3389">
        <f>G48</f>
        <v>0</v>
      </c>
      <c r="U48" s="3389"/>
      <c r="V48" s="3389">
        <f>I48</f>
        <v>0</v>
      </c>
      <c r="W48" s="3389"/>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354" t="str">
        <f>A49</f>
        <v>比较价值（元/平方米）</v>
      </c>
      <c r="Q49" s="3330"/>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439" t="str">
        <f>A50</f>
        <v>估价对象XX用房的比较价值（楼面单价，元/平方米）</v>
      </c>
      <c r="Q50" s="3440"/>
      <c r="R50" s="3441" t="e">
        <f>IF(F1="售价",ROUND(AVERAGE(R49:V49),0),ROUND(AVERAGE(R49:V49),1))</f>
        <v>#DIV/0!</v>
      </c>
      <c r="S50" s="3441"/>
      <c r="T50" s="3441"/>
      <c r="U50" s="3441"/>
      <c r="V50" s="3441"/>
      <c r="W50" s="344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7"/>
      <c r="Q58" s="504"/>
    </row>
    <row r="59" spans="1:29" s="508" customFormat="1" ht="15">
      <c r="A59" s="505" t="s">
        <v>2543</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2696</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2697</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117348.15999999993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31" t="s">
        <v>2641</v>
      </c>
      <c r="D4" s="3332"/>
      <c r="E4" s="3333" t="s">
        <v>2642</v>
      </c>
      <c r="F4" s="3334"/>
      <c r="G4" s="3331" t="s">
        <v>2643</v>
      </c>
      <c r="H4" s="3332"/>
      <c r="I4" s="3331" t="s">
        <v>2644</v>
      </c>
      <c r="J4" s="3332"/>
      <c r="K4" s="610" t="s">
        <v>2645</v>
      </c>
      <c r="L4" s="1130"/>
      <c r="M4" s="1131"/>
      <c r="N4" s="1131"/>
      <c r="O4" s="1131"/>
      <c r="P4" s="3335" t="s">
        <v>2646</v>
      </c>
      <c r="Q4" s="3336"/>
      <c r="R4" s="3318" t="s">
        <v>2642</v>
      </c>
      <c r="S4" s="3319"/>
      <c r="T4" s="3318" t="s">
        <v>2643</v>
      </c>
      <c r="U4" s="3319"/>
      <c r="V4" s="3343" t="s">
        <v>2644</v>
      </c>
      <c r="W4" s="3343"/>
      <c r="X4" s="1813"/>
      <c r="Y4" s="3318" t="s">
        <v>2646</v>
      </c>
      <c r="Z4" s="3319"/>
      <c r="AA4" s="3313" t="s">
        <v>2642</v>
      </c>
      <c r="AB4" s="3314" t="s">
        <v>2643</v>
      </c>
      <c r="AC4" s="3313" t="s">
        <v>2644</v>
      </c>
    </row>
    <row r="5" spans="1:29" ht="15">
      <c r="A5" s="404"/>
      <c r="B5" s="405"/>
      <c r="C5" s="3424" t="s">
        <v>2537</v>
      </c>
      <c r="D5" s="3325"/>
      <c r="E5" s="3423" t="s">
        <v>2538</v>
      </c>
      <c r="F5" s="3323"/>
      <c r="G5" s="3424" t="s">
        <v>2539</v>
      </c>
      <c r="H5" s="3325"/>
      <c r="I5" s="3424" t="s">
        <v>2540</v>
      </c>
      <c r="J5" s="3325"/>
      <c r="K5" s="610"/>
      <c r="L5" s="1130"/>
      <c r="M5" s="1131"/>
      <c r="N5" s="1131"/>
      <c r="O5" s="1131"/>
      <c r="P5" s="3337"/>
      <c r="Q5" s="3338"/>
      <c r="R5" s="3320"/>
      <c r="S5" s="3321"/>
      <c r="T5" s="3320"/>
      <c r="U5" s="3321"/>
      <c r="V5" s="3343"/>
      <c r="W5" s="3343"/>
      <c r="X5" s="1813"/>
      <c r="Y5" s="3320"/>
      <c r="Z5" s="3321"/>
      <c r="AA5" s="3314"/>
      <c r="AB5" s="3314"/>
      <c r="AC5" s="3314"/>
    </row>
    <row r="6" spans="1:29" ht="15.75" thickBot="1">
      <c r="A6" s="406"/>
      <c r="B6" s="407"/>
      <c r="C6" s="3425" t="s">
        <v>2541</v>
      </c>
      <c r="D6" s="3327"/>
      <c r="E6" s="3426" t="s">
        <v>2541</v>
      </c>
      <c r="F6" s="3329"/>
      <c r="G6" s="3425" t="s">
        <v>2541</v>
      </c>
      <c r="H6" s="3327"/>
      <c r="I6" s="3425" t="s">
        <v>2541</v>
      </c>
      <c r="J6" s="3327"/>
      <c r="K6" s="610" t="s">
        <v>2542</v>
      </c>
      <c r="L6" s="1130"/>
      <c r="M6" s="1131"/>
      <c r="N6" s="1131"/>
      <c r="O6" s="1131"/>
      <c r="P6" s="3339"/>
      <c r="Q6" s="3340"/>
      <c r="R6" s="3320"/>
      <c r="S6" s="3321"/>
      <c r="T6" s="3341"/>
      <c r="U6" s="3342"/>
      <c r="V6" s="3343"/>
      <c r="W6" s="3343"/>
      <c r="X6" s="1813"/>
      <c r="Y6" s="3341"/>
      <c r="Z6" s="3342"/>
      <c r="AA6" s="3315"/>
      <c r="AB6" s="3315"/>
      <c r="AC6" s="3315"/>
    </row>
    <row r="7" spans="1:29" s="117" customFormat="1" ht="15.75" thickBot="1">
      <c r="A7" s="408" t="s">
        <v>2543</v>
      </c>
      <c r="B7" s="409"/>
      <c r="C7" s="410">
        <f>'数据-取费表'!B2</f>
        <v>43111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16" t="s">
        <v>2544</v>
      </c>
      <c r="Q7" s="3344"/>
      <c r="R7" s="770" t="s">
        <v>17</v>
      </c>
      <c r="S7" s="771">
        <f t="shared" ref="S7:S15" si="0">F7</f>
        <v>0</v>
      </c>
      <c r="T7" s="770" t="s">
        <v>17</v>
      </c>
      <c r="U7" s="771">
        <f t="shared" ref="U7:U15" si="1">H7</f>
        <v>0</v>
      </c>
      <c r="V7" s="770" t="s">
        <v>17</v>
      </c>
      <c r="W7" s="771">
        <f t="shared" ref="W7:W15" si="2">J7</f>
        <v>0</v>
      </c>
      <c r="X7" s="772"/>
      <c r="Y7" s="3316" t="s">
        <v>2544</v>
      </c>
      <c r="Z7" s="3317"/>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16" t="s">
        <v>2547</v>
      </c>
      <c r="Q8" s="3317"/>
      <c r="R8" s="770" t="s">
        <v>17</v>
      </c>
      <c r="S8" s="771">
        <f t="shared" si="0"/>
        <v>0</v>
      </c>
      <c r="T8" s="770" t="s">
        <v>17</v>
      </c>
      <c r="U8" s="771">
        <f t="shared" si="1"/>
        <v>0</v>
      </c>
      <c r="V8" s="770" t="s">
        <v>17</v>
      </c>
      <c r="W8" s="771">
        <f t="shared" si="2"/>
        <v>0</v>
      </c>
      <c r="X8" s="772"/>
      <c r="Y8" s="3316" t="s">
        <v>2547</v>
      </c>
      <c r="Z8" s="3317"/>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30" t="s">
        <v>2550</v>
      </c>
      <c r="Q9" s="1795" t="str">
        <f t="shared" ref="Q9:Q15" si="6">B9</f>
        <v>用途</v>
      </c>
      <c r="R9" s="770" t="s">
        <v>17</v>
      </c>
      <c r="S9" s="771">
        <f t="shared" si="0"/>
        <v>100</v>
      </c>
      <c r="T9" s="770" t="s">
        <v>17</v>
      </c>
      <c r="U9" s="771">
        <f t="shared" si="1"/>
        <v>100</v>
      </c>
      <c r="V9" s="770" t="s">
        <v>17</v>
      </c>
      <c r="W9" s="771">
        <f t="shared" si="2"/>
        <v>100</v>
      </c>
      <c r="X9" s="772"/>
      <c r="Y9" s="317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30"/>
      <c r="Q10" s="1795" t="str">
        <f t="shared" si="6"/>
        <v>土地使用年限（年）</v>
      </c>
      <c r="R10" s="770" t="s">
        <v>17</v>
      </c>
      <c r="S10" s="771">
        <f t="shared" si="0"/>
        <v>100</v>
      </c>
      <c r="T10" s="770" t="s">
        <v>17</v>
      </c>
      <c r="U10" s="771">
        <f t="shared" si="1"/>
        <v>100</v>
      </c>
      <c r="V10" s="770" t="s">
        <v>17</v>
      </c>
      <c r="W10" s="771">
        <f t="shared" si="2"/>
        <v>100</v>
      </c>
      <c r="X10" s="772"/>
      <c r="Y10" s="317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30"/>
      <c r="Q11" s="1795" t="str">
        <f t="shared" si="6"/>
        <v>容积率</v>
      </c>
      <c r="R11" s="770" t="s">
        <v>17</v>
      </c>
      <c r="S11" s="771" t="e">
        <f t="shared" si="0"/>
        <v>#N/A</v>
      </c>
      <c r="T11" s="770" t="s">
        <v>17</v>
      </c>
      <c r="U11" s="771" t="e">
        <f t="shared" si="1"/>
        <v>#N/A</v>
      </c>
      <c r="V11" s="770" t="s">
        <v>17</v>
      </c>
      <c r="W11" s="771" t="e">
        <f t="shared" si="2"/>
        <v>#N/A</v>
      </c>
      <c r="X11" s="772"/>
      <c r="Y11" s="317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330"/>
      <c r="Q12" s="1795">
        <f t="shared" si="6"/>
        <v>111</v>
      </c>
      <c r="R12" s="770" t="s">
        <v>17</v>
      </c>
      <c r="S12" s="771">
        <f t="shared" si="0"/>
        <v>100</v>
      </c>
      <c r="T12" s="770" t="s">
        <v>17</v>
      </c>
      <c r="U12" s="771">
        <f t="shared" si="1"/>
        <v>100</v>
      </c>
      <c r="V12" s="770" t="s">
        <v>17</v>
      </c>
      <c r="W12" s="771">
        <f t="shared" si="2"/>
        <v>100</v>
      </c>
      <c r="X12" s="772"/>
      <c r="Y12" s="3171"/>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330"/>
      <c r="Q13" s="1795">
        <f t="shared" si="6"/>
        <v>111</v>
      </c>
      <c r="R13" s="770" t="s">
        <v>17</v>
      </c>
      <c r="S13" s="771">
        <f t="shared" si="0"/>
        <v>100</v>
      </c>
      <c r="T13" s="770" t="s">
        <v>17</v>
      </c>
      <c r="U13" s="771">
        <f t="shared" si="1"/>
        <v>100</v>
      </c>
      <c r="V13" s="770" t="s">
        <v>17</v>
      </c>
      <c r="W13" s="771">
        <f t="shared" si="2"/>
        <v>100</v>
      </c>
      <c r="X13" s="772"/>
      <c r="Y13" s="3171"/>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330"/>
      <c r="Q14" s="1795">
        <f t="shared" si="6"/>
        <v>111</v>
      </c>
      <c r="R14" s="770" t="s">
        <v>17</v>
      </c>
      <c r="S14" s="771">
        <f t="shared" si="0"/>
        <v>100</v>
      </c>
      <c r="T14" s="770" t="s">
        <v>17</v>
      </c>
      <c r="U14" s="771">
        <f t="shared" si="1"/>
        <v>100</v>
      </c>
      <c r="V14" s="770" t="s">
        <v>17</v>
      </c>
      <c r="W14" s="771">
        <f t="shared" si="2"/>
        <v>100</v>
      </c>
      <c r="X14" s="772"/>
      <c r="Y14" s="3171"/>
      <c r="Z14" s="55">
        <f t="shared" si="7"/>
        <v>111</v>
      </c>
      <c r="AA14" s="773">
        <f t="shared" si="3"/>
        <v>1</v>
      </c>
      <c r="AB14" s="773">
        <f t="shared" si="4"/>
        <v>1</v>
      </c>
      <c r="AC14" s="773">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45" t="s">
        <v>2555</v>
      </c>
      <c r="Q15" s="1810" t="str">
        <f t="shared" si="6"/>
        <v>产业集聚程度</v>
      </c>
      <c r="R15" s="774" t="s">
        <v>17</v>
      </c>
      <c r="S15" s="775">
        <f t="shared" si="0"/>
        <v>100</v>
      </c>
      <c r="T15" s="774" t="s">
        <v>17</v>
      </c>
      <c r="U15" s="775">
        <f t="shared" si="1"/>
        <v>100</v>
      </c>
      <c r="V15" s="774" t="s">
        <v>17</v>
      </c>
      <c r="W15" s="775">
        <f t="shared" si="2"/>
        <v>100</v>
      </c>
      <c r="X15" s="1813"/>
      <c r="Y15" s="3345"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46"/>
      <c r="Q16" s="1810"/>
      <c r="R16" s="774"/>
      <c r="S16" s="775"/>
      <c r="T16" s="774"/>
      <c r="U16" s="775"/>
      <c r="V16" s="774"/>
      <c r="W16" s="775"/>
      <c r="X16" s="1813"/>
      <c r="Y16" s="3346"/>
      <c r="Z16" s="1814"/>
      <c r="AA16" s="1811">
        <v>1</v>
      </c>
      <c r="AB16" s="1811">
        <v>1</v>
      </c>
      <c r="AC16" s="1811">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46"/>
      <c r="Q17" s="1810" t="str">
        <f>B17</f>
        <v>交通便捷度</v>
      </c>
      <c r="R17" s="774" t="s">
        <v>17</v>
      </c>
      <c r="S17" s="775">
        <f>F17</f>
        <v>100</v>
      </c>
      <c r="T17" s="774" t="s">
        <v>17</v>
      </c>
      <c r="U17" s="775">
        <f>H17</f>
        <v>100</v>
      </c>
      <c r="V17" s="774" t="s">
        <v>17</v>
      </c>
      <c r="W17" s="775">
        <f>J17</f>
        <v>100</v>
      </c>
      <c r="X17" s="1813"/>
      <c r="Y17" s="3346"/>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346"/>
      <c r="Q18" s="1810"/>
      <c r="R18" s="774"/>
      <c r="S18" s="775"/>
      <c r="T18" s="774"/>
      <c r="U18" s="775"/>
      <c r="V18" s="774"/>
      <c r="W18" s="775"/>
      <c r="X18" s="1813"/>
      <c r="Y18" s="3346"/>
      <c r="Z18" s="1814"/>
      <c r="AA18" s="1811">
        <v>1</v>
      </c>
      <c r="AB18" s="1811">
        <v>1</v>
      </c>
      <c r="AC18" s="1811">
        <v>1</v>
      </c>
    </row>
    <row r="19" spans="1:29" ht="42.75">
      <c r="A19" s="428"/>
      <c r="B19" s="451" t="s">
        <v>2683</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46"/>
      <c r="Q19" s="1810" t="str">
        <f>B19</f>
        <v>公共配套设施</v>
      </c>
      <c r="R19" s="774" t="s">
        <v>17</v>
      </c>
      <c r="S19" s="775">
        <f>F19</f>
        <v>100</v>
      </c>
      <c r="T19" s="774" t="s">
        <v>17</v>
      </c>
      <c r="U19" s="775">
        <f>H19</f>
        <v>100</v>
      </c>
      <c r="V19" s="774" t="s">
        <v>17</v>
      </c>
      <c r="W19" s="775">
        <f>J19</f>
        <v>100</v>
      </c>
      <c r="X19" s="1813"/>
      <c r="Y19" s="3346"/>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346"/>
      <c r="Q20" s="1810"/>
      <c r="R20" s="774"/>
      <c r="S20" s="775"/>
      <c r="T20" s="774"/>
      <c r="U20" s="775"/>
      <c r="V20" s="774"/>
      <c r="W20" s="775"/>
      <c r="X20" s="1813"/>
      <c r="Y20" s="3346"/>
      <c r="Z20" s="1814"/>
      <c r="AA20" s="1811">
        <v>1</v>
      </c>
      <c r="AB20" s="1811">
        <v>1</v>
      </c>
      <c r="AC20" s="1811">
        <v>1</v>
      </c>
    </row>
    <row r="21" spans="1:29" ht="28.5">
      <c r="A21" s="428"/>
      <c r="B21" s="1384" t="s">
        <v>2684</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46"/>
      <c r="Q21" s="1810" t="str">
        <f>B21</f>
        <v>基础设施水平</v>
      </c>
      <c r="R21" s="774" t="s">
        <v>17</v>
      </c>
      <c r="S21" s="775">
        <f>F21</f>
        <v>100</v>
      </c>
      <c r="T21" s="774" t="s">
        <v>17</v>
      </c>
      <c r="U21" s="775">
        <f>H21</f>
        <v>100</v>
      </c>
      <c r="V21" s="774" t="s">
        <v>17</v>
      </c>
      <c r="W21" s="775">
        <f>J21</f>
        <v>100</v>
      </c>
      <c r="X21" s="1813"/>
      <c r="Y21" s="3346"/>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346"/>
      <c r="Q22" s="1810"/>
      <c r="R22" s="774"/>
      <c r="S22" s="775"/>
      <c r="T22" s="774"/>
      <c r="U22" s="775"/>
      <c r="V22" s="774"/>
      <c r="W22" s="775"/>
      <c r="X22" s="1813"/>
      <c r="Y22" s="3346"/>
      <c r="Z22" s="1814"/>
      <c r="AA22" s="1811">
        <v>1</v>
      </c>
      <c r="AB22" s="1811">
        <v>1</v>
      </c>
      <c r="AC22" s="1811">
        <v>1</v>
      </c>
    </row>
    <row r="23" spans="1:29" ht="71.25">
      <c r="A23" s="428"/>
      <c r="B23" s="451" t="s">
        <v>2685</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46"/>
      <c r="Q23" s="1810" t="str">
        <f>B23</f>
        <v>环境质量</v>
      </c>
      <c r="R23" s="774" t="s">
        <v>17</v>
      </c>
      <c r="S23" s="775">
        <f>F23</f>
        <v>100</v>
      </c>
      <c r="T23" s="774" t="s">
        <v>17</v>
      </c>
      <c r="U23" s="775">
        <f>H23</f>
        <v>100</v>
      </c>
      <c r="V23" s="774" t="s">
        <v>17</v>
      </c>
      <c r="W23" s="775">
        <f>J23</f>
        <v>100</v>
      </c>
      <c r="X23" s="1813"/>
      <c r="Y23" s="3346"/>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346"/>
      <c r="Q24" s="1810"/>
      <c r="R24" s="774"/>
      <c r="S24" s="775"/>
      <c r="T24" s="774"/>
      <c r="U24" s="775"/>
      <c r="V24" s="774"/>
      <c r="W24" s="775"/>
      <c r="X24" s="1813"/>
      <c r="Y24" s="334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46"/>
      <c r="Q25" s="1810">
        <f>B25</f>
        <v>111</v>
      </c>
      <c r="R25" s="774" t="s">
        <v>17</v>
      </c>
      <c r="S25" s="775">
        <f>F25</f>
        <v>100</v>
      </c>
      <c r="T25" s="774" t="s">
        <v>17</v>
      </c>
      <c r="U25" s="775">
        <f>H25</f>
        <v>100</v>
      </c>
      <c r="V25" s="774" t="s">
        <v>17</v>
      </c>
      <c r="W25" s="775">
        <f>J25</f>
        <v>100</v>
      </c>
      <c r="X25" s="1813"/>
      <c r="Y25" s="334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46"/>
      <c r="Q26" s="1810">
        <f t="shared" ref="Q26:Q40" si="11">B26</f>
        <v>111</v>
      </c>
      <c r="R26" s="774" t="s">
        <v>17</v>
      </c>
      <c r="S26" s="775">
        <f>F26</f>
        <v>100</v>
      </c>
      <c r="T26" s="774" t="s">
        <v>17</v>
      </c>
      <c r="U26" s="775">
        <f>H26</f>
        <v>100</v>
      </c>
      <c r="V26" s="774" t="s">
        <v>17</v>
      </c>
      <c r="W26" s="775">
        <f>J26</f>
        <v>100</v>
      </c>
      <c r="X26" s="1813"/>
      <c r="Y26" s="334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46"/>
      <c r="Q27" s="1795">
        <f t="shared" si="11"/>
        <v>111</v>
      </c>
      <c r="R27" s="770" t="s">
        <v>17</v>
      </c>
      <c r="S27" s="771">
        <f>F27</f>
        <v>100</v>
      </c>
      <c r="T27" s="770" t="s">
        <v>17</v>
      </c>
      <c r="U27" s="771">
        <f>H27</f>
        <v>100</v>
      </c>
      <c r="V27" s="770" t="s">
        <v>17</v>
      </c>
      <c r="W27" s="771">
        <f>J27</f>
        <v>100</v>
      </c>
      <c r="X27" s="772"/>
      <c r="Y27" s="334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46"/>
      <c r="Q28" s="1810">
        <f t="shared" si="11"/>
        <v>111</v>
      </c>
      <c r="R28" s="774" t="s">
        <v>17</v>
      </c>
      <c r="S28" s="775">
        <f t="shared" ref="S28:S40" si="12">F28</f>
        <v>100</v>
      </c>
      <c r="T28" s="774" t="s">
        <v>17</v>
      </c>
      <c r="U28" s="775">
        <f t="shared" ref="U28:U40" si="13">H28</f>
        <v>100</v>
      </c>
      <c r="V28" s="774" t="s">
        <v>17</v>
      </c>
      <c r="W28" s="775">
        <f t="shared" ref="W28:W40" si="14">J28</f>
        <v>100</v>
      </c>
      <c r="X28" s="1813"/>
      <c r="Y28" s="3346"/>
      <c r="Z28" s="1814">
        <f t="shared" ref="Z28:Z40" si="15">Q28</f>
        <v>111</v>
      </c>
      <c r="AA28" s="1811">
        <f t="shared" si="3"/>
        <v>1</v>
      </c>
      <c r="AB28" s="1811">
        <f t="shared" si="4"/>
        <v>1</v>
      </c>
      <c r="AC28" s="1811">
        <f t="shared" si="5"/>
        <v>1</v>
      </c>
    </row>
    <row r="29" spans="1:29" ht="1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347" t="s">
        <v>2560</v>
      </c>
      <c r="Q29" s="1810" t="str">
        <f t="shared" si="11"/>
        <v>建筑类型</v>
      </c>
      <c r="R29" s="774" t="s">
        <v>17</v>
      </c>
      <c r="S29" s="775">
        <f t="shared" si="12"/>
        <v>100</v>
      </c>
      <c r="T29" s="774" t="s">
        <v>17</v>
      </c>
      <c r="U29" s="775">
        <f t="shared" si="13"/>
        <v>100</v>
      </c>
      <c r="V29" s="774" t="s">
        <v>17</v>
      </c>
      <c r="W29" s="775">
        <f t="shared" si="14"/>
        <v>100</v>
      </c>
      <c r="X29" s="1813"/>
      <c r="Y29" s="3348"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48"/>
      <c r="Q30" s="776" t="str">
        <f t="shared" si="11"/>
        <v>项目建筑规模</v>
      </c>
      <c r="R30" s="777" t="s">
        <v>17</v>
      </c>
      <c r="S30" s="778" t="e">
        <f t="shared" si="12"/>
        <v>#N/A</v>
      </c>
      <c r="T30" s="777" t="s">
        <v>17</v>
      </c>
      <c r="U30" s="778" t="e">
        <f t="shared" si="13"/>
        <v>#N/A</v>
      </c>
      <c r="V30" s="777" t="s">
        <v>17</v>
      </c>
      <c r="W30" s="778" t="e">
        <f t="shared" si="14"/>
        <v>#N/A</v>
      </c>
      <c r="X30" s="779"/>
      <c r="Y30" s="3348"/>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48"/>
      <c r="Q31" s="1810" t="str">
        <f t="shared" si="11"/>
        <v>建筑结构</v>
      </c>
      <c r="R31" s="774" t="s">
        <v>17</v>
      </c>
      <c r="S31" s="775">
        <f t="shared" si="12"/>
        <v>100</v>
      </c>
      <c r="T31" s="774" t="s">
        <v>17</v>
      </c>
      <c r="U31" s="775">
        <f t="shared" si="13"/>
        <v>100</v>
      </c>
      <c r="V31" s="774" t="s">
        <v>17</v>
      </c>
      <c r="W31" s="775">
        <f t="shared" si="14"/>
        <v>100</v>
      </c>
      <c r="X31" s="1813"/>
      <c r="Y31" s="3348"/>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48"/>
      <c r="Q32" s="1810" t="str">
        <f t="shared" si="11"/>
        <v>公共部分装修</v>
      </c>
      <c r="R32" s="774" t="s">
        <v>17</v>
      </c>
      <c r="S32" s="775">
        <f t="shared" si="12"/>
        <v>100</v>
      </c>
      <c r="T32" s="774" t="s">
        <v>17</v>
      </c>
      <c r="U32" s="775">
        <f t="shared" si="13"/>
        <v>100</v>
      </c>
      <c r="V32" s="774" t="s">
        <v>17</v>
      </c>
      <c r="W32" s="775">
        <f t="shared" si="14"/>
        <v>100</v>
      </c>
      <c r="X32" s="1813"/>
      <c r="Y32" s="3348"/>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48"/>
      <c r="Q33" s="1810" t="str">
        <f t="shared" si="11"/>
        <v>成新度</v>
      </c>
      <c r="R33" s="774" t="s">
        <v>17</v>
      </c>
      <c r="S33" s="775" t="e">
        <f t="shared" si="12"/>
        <v>#N/A</v>
      </c>
      <c r="T33" s="774" t="s">
        <v>17</v>
      </c>
      <c r="U33" s="775" t="e">
        <f t="shared" si="13"/>
        <v>#N/A</v>
      </c>
      <c r="V33" s="774" t="s">
        <v>17</v>
      </c>
      <c r="W33" s="775" t="e">
        <f t="shared" si="14"/>
        <v>#N/A</v>
      </c>
      <c r="X33" s="1813"/>
      <c r="Y33" s="3348"/>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48"/>
      <c r="Q34" s="1795" t="str">
        <f t="shared" si="11"/>
        <v>物业管理</v>
      </c>
      <c r="R34" s="770" t="s">
        <v>17</v>
      </c>
      <c r="S34" s="771">
        <f t="shared" si="12"/>
        <v>100</v>
      </c>
      <c r="T34" s="770" t="s">
        <v>17</v>
      </c>
      <c r="U34" s="771">
        <f t="shared" si="13"/>
        <v>100</v>
      </c>
      <c r="V34" s="770" t="s">
        <v>17</v>
      </c>
      <c r="W34" s="771">
        <f t="shared" si="14"/>
        <v>100</v>
      </c>
      <c r="X34" s="772"/>
      <c r="Y34" s="3348"/>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48" t="s">
        <v>2560</v>
      </c>
      <c r="Q35" s="1810" t="str">
        <f t="shared" si="11"/>
        <v>市政基础设施</v>
      </c>
      <c r="R35" s="774" t="s">
        <v>17</v>
      </c>
      <c r="S35" s="775">
        <f t="shared" si="12"/>
        <v>100</v>
      </c>
      <c r="T35" s="774" t="s">
        <v>17</v>
      </c>
      <c r="U35" s="775">
        <f t="shared" si="13"/>
        <v>100</v>
      </c>
      <c r="V35" s="774" t="s">
        <v>17</v>
      </c>
      <c r="W35" s="775">
        <f t="shared" si="14"/>
        <v>100</v>
      </c>
      <c r="X35" s="1813"/>
      <c r="Y35" s="3348"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48"/>
      <c r="Q36" s="1810" t="str">
        <f t="shared" si="11"/>
        <v>内部装修</v>
      </c>
      <c r="R36" s="774" t="s">
        <v>17</v>
      </c>
      <c r="S36" s="775">
        <f t="shared" si="12"/>
        <v>100</v>
      </c>
      <c r="T36" s="774" t="s">
        <v>17</v>
      </c>
      <c r="U36" s="775">
        <f t="shared" si="13"/>
        <v>100</v>
      </c>
      <c r="V36" s="774" t="s">
        <v>17</v>
      </c>
      <c r="W36" s="775">
        <f t="shared" si="14"/>
        <v>100</v>
      </c>
      <c r="X36" s="1813"/>
      <c r="Y36" s="3348"/>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48"/>
      <c r="Q37" s="1810" t="str">
        <f t="shared" si="11"/>
        <v>内部装修状况</v>
      </c>
      <c r="R37" s="774" t="s">
        <v>17</v>
      </c>
      <c r="S37" s="775">
        <f t="shared" si="12"/>
        <v>100</v>
      </c>
      <c r="T37" s="774" t="s">
        <v>17</v>
      </c>
      <c r="U37" s="775">
        <f t="shared" si="13"/>
        <v>100</v>
      </c>
      <c r="V37" s="774" t="s">
        <v>17</v>
      </c>
      <c r="W37" s="775">
        <f t="shared" si="14"/>
        <v>100</v>
      </c>
      <c r="X37" s="1813"/>
      <c r="Y37" s="334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48"/>
      <c r="Q38" s="776">
        <f t="shared" si="11"/>
        <v>111</v>
      </c>
      <c r="R38" s="777" t="s">
        <v>17</v>
      </c>
      <c r="S38" s="778">
        <f t="shared" si="12"/>
        <v>100</v>
      </c>
      <c r="T38" s="777" t="s">
        <v>17</v>
      </c>
      <c r="U38" s="778">
        <f t="shared" si="13"/>
        <v>100</v>
      </c>
      <c r="V38" s="777" t="s">
        <v>17</v>
      </c>
      <c r="W38" s="778">
        <f t="shared" si="14"/>
        <v>100</v>
      </c>
      <c r="X38" s="779"/>
      <c r="Y38" s="334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48"/>
      <c r="Q39" s="1810">
        <f t="shared" si="11"/>
        <v>111</v>
      </c>
      <c r="R39" s="774" t="s">
        <v>17</v>
      </c>
      <c r="S39" s="775">
        <f t="shared" si="12"/>
        <v>100</v>
      </c>
      <c r="T39" s="774" t="s">
        <v>17</v>
      </c>
      <c r="U39" s="775">
        <f t="shared" si="13"/>
        <v>100</v>
      </c>
      <c r="V39" s="774" t="s">
        <v>17</v>
      </c>
      <c r="W39" s="775">
        <f t="shared" si="14"/>
        <v>100</v>
      </c>
      <c r="X39" s="1813"/>
      <c r="Y39" s="3348"/>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93"/>
      <c r="Q40" s="1810">
        <f t="shared" si="11"/>
        <v>111</v>
      </c>
      <c r="R40" s="774" t="s">
        <v>17</v>
      </c>
      <c r="S40" s="775">
        <f t="shared" si="12"/>
        <v>100</v>
      </c>
      <c r="T40" s="774" t="s">
        <v>17</v>
      </c>
      <c r="U40" s="775">
        <f t="shared" si="13"/>
        <v>100</v>
      </c>
      <c r="V40" s="774" t="s">
        <v>17</v>
      </c>
      <c r="W40" s="775">
        <f t="shared" si="14"/>
        <v>100</v>
      </c>
      <c r="X40" s="1813"/>
      <c r="Y40" s="3393"/>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330" t="str">
        <f>A41</f>
        <v>成交单价（元/平方米）</v>
      </c>
      <c r="Q41" s="3330"/>
      <c r="R41" s="3389">
        <f>E41</f>
        <v>0</v>
      </c>
      <c r="S41" s="3389"/>
      <c r="T41" s="3389">
        <f>G41</f>
        <v>0</v>
      </c>
      <c r="U41" s="3389"/>
      <c r="V41" s="3389">
        <f>I41</f>
        <v>0</v>
      </c>
      <c r="W41" s="3389"/>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330" t="str">
        <f>A42</f>
        <v>比较价值（元/平方米）</v>
      </c>
      <c r="Q42" s="3330"/>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350" t="str">
        <f>A43</f>
        <v>估价对象XX用房的比较价值（楼面单价，元/平方米）</v>
      </c>
      <c r="Q43" s="3351"/>
      <c r="R43" s="3388" t="e">
        <f>IF(F1="售价",ROUND(AVERAGE(R42:V42),0),ROUND(AVERAGE(R42:V42),1))</f>
        <v>#DIV/0!</v>
      </c>
      <c r="S43" s="3388"/>
      <c r="T43" s="3388"/>
      <c r="U43" s="3388"/>
      <c r="V43" s="3388"/>
      <c r="W43" s="33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2"/>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331" t="s">
        <v>2641</v>
      </c>
      <c r="D4" s="3332"/>
      <c r="E4" s="3333" t="s">
        <v>2642</v>
      </c>
      <c r="F4" s="3334"/>
      <c r="G4" s="3331" t="s">
        <v>2643</v>
      </c>
      <c r="H4" s="3332"/>
      <c r="I4" s="3331" t="s">
        <v>2644</v>
      </c>
      <c r="J4" s="3332"/>
      <c r="K4" s="610" t="s">
        <v>2645</v>
      </c>
      <c r="L4" s="1130"/>
      <c r="M4" s="1131"/>
      <c r="N4" s="1131"/>
      <c r="O4" s="1131"/>
      <c r="P4" s="3335" t="s">
        <v>2646</v>
      </c>
      <c r="Q4" s="3336"/>
      <c r="R4" s="3318" t="s">
        <v>2642</v>
      </c>
      <c r="S4" s="3319"/>
      <c r="T4" s="3318" t="s">
        <v>2643</v>
      </c>
      <c r="U4" s="3319"/>
      <c r="V4" s="3343" t="s">
        <v>2644</v>
      </c>
      <c r="W4" s="3343"/>
      <c r="X4" s="1813"/>
      <c r="Y4" s="3318" t="s">
        <v>2646</v>
      </c>
      <c r="Z4" s="3319"/>
      <c r="AA4" s="3313" t="s">
        <v>2642</v>
      </c>
      <c r="AB4" s="3314" t="s">
        <v>2643</v>
      </c>
      <c r="AC4" s="3313" t="s">
        <v>2644</v>
      </c>
    </row>
    <row r="5" spans="1:29" ht="15">
      <c r="A5" s="404"/>
      <c r="B5" s="405"/>
      <c r="C5" s="3424" t="s">
        <v>2537</v>
      </c>
      <c r="D5" s="3325"/>
      <c r="E5" s="3423" t="s">
        <v>2538</v>
      </c>
      <c r="F5" s="3323"/>
      <c r="G5" s="3424" t="s">
        <v>2539</v>
      </c>
      <c r="H5" s="3325"/>
      <c r="I5" s="3424" t="s">
        <v>2540</v>
      </c>
      <c r="J5" s="3325"/>
      <c r="K5" s="610"/>
      <c r="L5" s="1130"/>
      <c r="M5" s="1131"/>
      <c r="N5" s="1131"/>
      <c r="O5" s="1131"/>
      <c r="P5" s="3337"/>
      <c r="Q5" s="3338"/>
      <c r="R5" s="3320"/>
      <c r="S5" s="3321"/>
      <c r="T5" s="3320"/>
      <c r="U5" s="3321"/>
      <c r="V5" s="3343"/>
      <c r="W5" s="3343"/>
      <c r="X5" s="1813"/>
      <c r="Y5" s="3320"/>
      <c r="Z5" s="3321"/>
      <c r="AA5" s="3314"/>
      <c r="AB5" s="3314"/>
      <c r="AC5" s="3314"/>
    </row>
    <row r="6" spans="1:29" ht="15.75" thickBot="1">
      <c r="A6" s="406"/>
      <c r="B6" s="407"/>
      <c r="C6" s="3425" t="s">
        <v>2541</v>
      </c>
      <c r="D6" s="3327"/>
      <c r="E6" s="3426" t="s">
        <v>2541</v>
      </c>
      <c r="F6" s="3329"/>
      <c r="G6" s="3425" t="s">
        <v>2541</v>
      </c>
      <c r="H6" s="3327"/>
      <c r="I6" s="3425" t="s">
        <v>2541</v>
      </c>
      <c r="J6" s="3327"/>
      <c r="K6" s="610" t="s">
        <v>2542</v>
      </c>
      <c r="L6" s="1130"/>
      <c r="M6" s="1131"/>
      <c r="N6" s="1131"/>
      <c r="O6" s="1131"/>
      <c r="P6" s="3339"/>
      <c r="Q6" s="3340"/>
      <c r="R6" s="3320"/>
      <c r="S6" s="3321"/>
      <c r="T6" s="3341"/>
      <c r="U6" s="3342"/>
      <c r="V6" s="3343"/>
      <c r="W6" s="3343"/>
      <c r="X6" s="1813"/>
      <c r="Y6" s="3341"/>
      <c r="Z6" s="3342"/>
      <c r="AA6" s="3315"/>
      <c r="AB6" s="3315"/>
      <c r="AC6" s="3315"/>
    </row>
    <row r="7" spans="1:29" s="117" customFormat="1" ht="15.75" thickBot="1">
      <c r="A7" s="408" t="s">
        <v>2543</v>
      </c>
      <c r="B7" s="409"/>
      <c r="C7" s="410">
        <f>'数据-取费表'!B2</f>
        <v>43111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16" t="s">
        <v>2544</v>
      </c>
      <c r="Q7" s="3344"/>
      <c r="R7" s="770" t="s">
        <v>17</v>
      </c>
      <c r="S7" s="771">
        <f t="shared" ref="S7:S14" si="0">F7</f>
        <v>0</v>
      </c>
      <c r="T7" s="770" t="s">
        <v>17</v>
      </c>
      <c r="U7" s="771">
        <f t="shared" ref="U7:U14" si="1">H7</f>
        <v>0</v>
      </c>
      <c r="V7" s="770" t="s">
        <v>17</v>
      </c>
      <c r="W7" s="771">
        <f t="shared" ref="W7:W14" si="2">J7</f>
        <v>0</v>
      </c>
      <c r="X7" s="772"/>
      <c r="Y7" s="3316" t="s">
        <v>2544</v>
      </c>
      <c r="Z7" s="3317"/>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16" t="s">
        <v>2547</v>
      </c>
      <c r="Q8" s="3317"/>
      <c r="R8" s="770" t="s">
        <v>17</v>
      </c>
      <c r="S8" s="771">
        <f t="shared" si="0"/>
        <v>0</v>
      </c>
      <c r="T8" s="770" t="s">
        <v>17</v>
      </c>
      <c r="U8" s="771">
        <f t="shared" si="1"/>
        <v>0</v>
      </c>
      <c r="V8" s="770" t="s">
        <v>17</v>
      </c>
      <c r="W8" s="771">
        <f t="shared" si="2"/>
        <v>0</v>
      </c>
      <c r="X8" s="772"/>
      <c r="Y8" s="3316" t="s">
        <v>2547</v>
      </c>
      <c r="Z8" s="3317"/>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30" t="s">
        <v>2550</v>
      </c>
      <c r="Q9" s="1795" t="str">
        <f t="shared" ref="Q9:Q14" si="6">B9</f>
        <v>用途</v>
      </c>
      <c r="R9" s="770" t="s">
        <v>17</v>
      </c>
      <c r="S9" s="771">
        <f t="shared" si="0"/>
        <v>100</v>
      </c>
      <c r="T9" s="770" t="s">
        <v>17</v>
      </c>
      <c r="U9" s="771">
        <f t="shared" si="1"/>
        <v>100</v>
      </c>
      <c r="V9" s="770" t="s">
        <v>17</v>
      </c>
      <c r="W9" s="771">
        <f t="shared" si="2"/>
        <v>100</v>
      </c>
      <c r="X9" s="772"/>
      <c r="Y9" s="3171"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30"/>
      <c r="Q10" s="1795" t="str">
        <f t="shared" si="6"/>
        <v>土地使用年限（年）</v>
      </c>
      <c r="R10" s="770" t="s">
        <v>17</v>
      </c>
      <c r="S10" s="771">
        <f t="shared" si="0"/>
        <v>100</v>
      </c>
      <c r="T10" s="770" t="s">
        <v>17</v>
      </c>
      <c r="U10" s="771">
        <f t="shared" si="1"/>
        <v>100</v>
      </c>
      <c r="V10" s="770" t="s">
        <v>17</v>
      </c>
      <c r="W10" s="771">
        <f t="shared" si="2"/>
        <v>100</v>
      </c>
      <c r="X10" s="772"/>
      <c r="Y10" s="317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30"/>
      <c r="Q11" s="1795">
        <f t="shared" si="6"/>
        <v>111</v>
      </c>
      <c r="R11" s="770" t="s">
        <v>17</v>
      </c>
      <c r="S11" s="771">
        <f t="shared" si="0"/>
        <v>100</v>
      </c>
      <c r="T11" s="770" t="s">
        <v>17</v>
      </c>
      <c r="U11" s="771">
        <f t="shared" si="1"/>
        <v>100</v>
      </c>
      <c r="V11" s="770" t="s">
        <v>17</v>
      </c>
      <c r="W11" s="771">
        <f t="shared" si="2"/>
        <v>100</v>
      </c>
      <c r="X11" s="772"/>
      <c r="Y11" s="317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30"/>
      <c r="Q12" s="1795">
        <f t="shared" si="6"/>
        <v>111</v>
      </c>
      <c r="R12" s="770" t="s">
        <v>17</v>
      </c>
      <c r="S12" s="771">
        <f t="shared" si="0"/>
        <v>100</v>
      </c>
      <c r="T12" s="770" t="s">
        <v>17</v>
      </c>
      <c r="U12" s="771">
        <f t="shared" si="1"/>
        <v>100</v>
      </c>
      <c r="V12" s="770" t="s">
        <v>17</v>
      </c>
      <c r="W12" s="771">
        <f t="shared" si="2"/>
        <v>100</v>
      </c>
      <c r="X12" s="772"/>
      <c r="Y12" s="317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30"/>
      <c r="Q13" s="1795">
        <f t="shared" si="6"/>
        <v>111</v>
      </c>
      <c r="R13" s="770" t="s">
        <v>17</v>
      </c>
      <c r="S13" s="771">
        <f t="shared" si="0"/>
        <v>100</v>
      </c>
      <c r="T13" s="770" t="s">
        <v>17</v>
      </c>
      <c r="U13" s="771">
        <f t="shared" si="1"/>
        <v>100</v>
      </c>
      <c r="V13" s="770" t="s">
        <v>17</v>
      </c>
      <c r="W13" s="771">
        <f t="shared" si="2"/>
        <v>100</v>
      </c>
      <c r="X13" s="772"/>
      <c r="Y13" s="3171"/>
      <c r="Z13" s="55">
        <f t="shared" si="7"/>
        <v>111</v>
      </c>
      <c r="AA13" s="773">
        <f t="shared" si="3"/>
        <v>1</v>
      </c>
      <c r="AB13" s="773">
        <f t="shared" si="4"/>
        <v>1</v>
      </c>
      <c r="AC13" s="773">
        <f t="shared" si="5"/>
        <v>1</v>
      </c>
    </row>
    <row r="14" spans="1:29" ht="128.25">
      <c r="A14" s="401" t="s">
        <v>2554</v>
      </c>
      <c r="B14" s="629" t="s">
        <v>2704</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45" t="s">
        <v>2555</v>
      </c>
      <c r="Q14" s="1810" t="str">
        <f t="shared" si="6"/>
        <v>交通便捷度</v>
      </c>
      <c r="R14" s="774" t="s">
        <v>17</v>
      </c>
      <c r="S14" s="775">
        <f t="shared" si="0"/>
        <v>100</v>
      </c>
      <c r="T14" s="774" t="s">
        <v>17</v>
      </c>
      <c r="U14" s="775">
        <f t="shared" si="1"/>
        <v>100</v>
      </c>
      <c r="V14" s="774" t="s">
        <v>17</v>
      </c>
      <c r="W14" s="775">
        <f t="shared" si="2"/>
        <v>100</v>
      </c>
      <c r="X14" s="1813"/>
      <c r="Y14" s="3345"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46"/>
      <c r="Q15" s="1810"/>
      <c r="R15" s="774"/>
      <c r="S15" s="775"/>
      <c r="T15" s="774"/>
      <c r="U15" s="775"/>
      <c r="V15" s="774"/>
      <c r="W15" s="775"/>
      <c r="X15" s="1813"/>
      <c r="Y15" s="3346"/>
      <c r="Z15" s="1814"/>
      <c r="AA15" s="1811">
        <v>1</v>
      </c>
      <c r="AB15" s="1811">
        <v>1</v>
      </c>
      <c r="AC15" s="1811">
        <v>1</v>
      </c>
    </row>
    <row r="16" spans="1:29" ht="213.75">
      <c r="A16" s="404"/>
      <c r="B16" s="631" t="s">
        <v>2683</v>
      </c>
      <c r="C16" s="2604"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46"/>
      <c r="Q16" s="1810" t="str">
        <f>B16</f>
        <v>公共配套设施</v>
      </c>
      <c r="R16" s="774" t="s">
        <v>17</v>
      </c>
      <c r="S16" s="775">
        <f>F16</f>
        <v>100</v>
      </c>
      <c r="T16" s="774" t="s">
        <v>17</v>
      </c>
      <c r="U16" s="775">
        <f>H16</f>
        <v>100</v>
      </c>
      <c r="V16" s="774" t="s">
        <v>17</v>
      </c>
      <c r="W16" s="775">
        <f>J16</f>
        <v>100</v>
      </c>
      <c r="X16" s="1813"/>
      <c r="Y16" s="3346"/>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346"/>
      <c r="Q17" s="1810"/>
      <c r="R17" s="774"/>
      <c r="S17" s="775"/>
      <c r="T17" s="774"/>
      <c r="U17" s="775"/>
      <c r="V17" s="774"/>
      <c r="W17" s="775"/>
      <c r="X17" s="1813"/>
      <c r="Y17" s="3346"/>
      <c r="Z17" s="1814"/>
      <c r="AA17" s="1811">
        <v>1</v>
      </c>
      <c r="AB17" s="1811">
        <v>1</v>
      </c>
      <c r="AC17" s="1811">
        <v>1</v>
      </c>
    </row>
    <row r="18" spans="1:29" ht="42.75">
      <c r="A18" s="404"/>
      <c r="B18" s="633" t="s">
        <v>2684</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46"/>
      <c r="Q18" s="1810" t="str">
        <f>B18</f>
        <v>基础设施水平</v>
      </c>
      <c r="R18" s="774" t="s">
        <v>17</v>
      </c>
      <c r="S18" s="775">
        <f>F18</f>
        <v>100</v>
      </c>
      <c r="T18" s="774" t="s">
        <v>17</v>
      </c>
      <c r="U18" s="775">
        <f>H18</f>
        <v>100</v>
      </c>
      <c r="V18" s="774" t="s">
        <v>17</v>
      </c>
      <c r="W18" s="775">
        <f>J18</f>
        <v>100</v>
      </c>
      <c r="X18" s="1813"/>
      <c r="Y18" s="3346"/>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346"/>
      <c r="Q19" s="1810"/>
      <c r="R19" s="774"/>
      <c r="S19" s="775"/>
      <c r="T19" s="774"/>
      <c r="U19" s="775"/>
      <c r="V19" s="774"/>
      <c r="W19" s="775"/>
      <c r="X19" s="1813"/>
      <c r="Y19" s="3346"/>
      <c r="Z19" s="1814"/>
      <c r="AA19" s="1811">
        <v>1</v>
      </c>
      <c r="AB19" s="1811">
        <v>1</v>
      </c>
      <c r="AC19" s="1811">
        <v>1</v>
      </c>
    </row>
    <row r="20" spans="1:29" ht="99.75">
      <c r="A20" s="404"/>
      <c r="B20" s="631" t="s">
        <v>2705</v>
      </c>
      <c r="C20" s="2604" t="str">
        <f>IF(B1="工业",估价对象房地状况!G7,估价对象房地状况!C9)</f>
        <v>区域自然环境：未来科技城滨河公园；人文环境：无展览馆、博物馆等；综合评价环境状况一般。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46"/>
      <c r="Q20" s="1810" t="str">
        <f>B20</f>
        <v>自然及人文环境</v>
      </c>
      <c r="R20" s="774" t="s">
        <v>17</v>
      </c>
      <c r="S20" s="775">
        <f>F20</f>
        <v>100</v>
      </c>
      <c r="T20" s="774" t="s">
        <v>17</v>
      </c>
      <c r="U20" s="775">
        <f>H20</f>
        <v>100</v>
      </c>
      <c r="V20" s="774" t="s">
        <v>17</v>
      </c>
      <c r="W20" s="775">
        <f>J20</f>
        <v>100</v>
      </c>
      <c r="X20" s="1813"/>
      <c r="Y20" s="334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46"/>
      <c r="Q21" s="1810"/>
      <c r="R21" s="774"/>
      <c r="S21" s="775"/>
      <c r="T21" s="774"/>
      <c r="U21" s="775"/>
      <c r="V21" s="774"/>
      <c r="W21" s="775"/>
      <c r="X21" s="1813"/>
      <c r="Y21" s="3346"/>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46"/>
      <c r="Q22" s="1810" t="str">
        <f>B22</f>
        <v>楼层</v>
      </c>
      <c r="R22" s="774" t="s">
        <v>17</v>
      </c>
      <c r="S22" s="775">
        <f>F22</f>
        <v>100</v>
      </c>
      <c r="T22" s="774" t="s">
        <v>17</v>
      </c>
      <c r="U22" s="775">
        <f>H22</f>
        <v>100</v>
      </c>
      <c r="V22" s="774" t="s">
        <v>17</v>
      </c>
      <c r="W22" s="775">
        <f>J22</f>
        <v>100</v>
      </c>
      <c r="X22" s="1813"/>
      <c r="Y22" s="334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46"/>
      <c r="Q23" s="1810">
        <f>B23</f>
        <v>111</v>
      </c>
      <c r="R23" s="774" t="s">
        <v>17</v>
      </c>
      <c r="S23" s="775">
        <f>F23</f>
        <v>100</v>
      </c>
      <c r="T23" s="774" t="s">
        <v>17</v>
      </c>
      <c r="U23" s="775">
        <f>H23</f>
        <v>100</v>
      </c>
      <c r="V23" s="774" t="s">
        <v>17</v>
      </c>
      <c r="W23" s="775">
        <f>J23</f>
        <v>100</v>
      </c>
      <c r="X23" s="1813"/>
      <c r="Y23" s="334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46"/>
      <c r="Q24" s="1810">
        <f t="shared" ref="Q24:Q36" si="11">B24</f>
        <v>111</v>
      </c>
      <c r="R24" s="774" t="s">
        <v>17</v>
      </c>
      <c r="S24" s="775">
        <f>F24</f>
        <v>100</v>
      </c>
      <c r="T24" s="774" t="s">
        <v>17</v>
      </c>
      <c r="U24" s="775">
        <f>H24</f>
        <v>100</v>
      </c>
      <c r="V24" s="774" t="s">
        <v>17</v>
      </c>
      <c r="W24" s="775">
        <f>J24</f>
        <v>100</v>
      </c>
      <c r="X24" s="1813"/>
      <c r="Y24" s="334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46"/>
      <c r="Q25" s="1795">
        <f t="shared" si="11"/>
        <v>111</v>
      </c>
      <c r="R25" s="770" t="s">
        <v>17</v>
      </c>
      <c r="S25" s="771">
        <f>F25</f>
        <v>100</v>
      </c>
      <c r="T25" s="770" t="s">
        <v>17</v>
      </c>
      <c r="U25" s="771">
        <f>H25</f>
        <v>100</v>
      </c>
      <c r="V25" s="770" t="s">
        <v>17</v>
      </c>
      <c r="W25" s="771">
        <f>J25</f>
        <v>100</v>
      </c>
      <c r="X25" s="772"/>
      <c r="Y25" s="3346"/>
      <c r="Z25" s="55">
        <f>Q25</f>
        <v>111</v>
      </c>
      <c r="AA25" s="1811">
        <f>D25/F25</f>
        <v>1</v>
      </c>
      <c r="AB25" s="1811">
        <f>D25/H25</f>
        <v>1</v>
      </c>
      <c r="AC25" s="1811">
        <f>D25/J25</f>
        <v>1</v>
      </c>
    </row>
    <row r="26" spans="1:29" ht="15">
      <c r="A26" s="652"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47"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48"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48"/>
      <c r="Q27" s="776" t="str">
        <f t="shared" si="11"/>
        <v>项目停车位配比</v>
      </c>
      <c r="R27" s="777" t="s">
        <v>17</v>
      </c>
      <c r="S27" s="778">
        <f t="shared" si="12"/>
        <v>100</v>
      </c>
      <c r="T27" s="777" t="s">
        <v>17</v>
      </c>
      <c r="U27" s="778">
        <f t="shared" si="13"/>
        <v>100</v>
      </c>
      <c r="V27" s="777" t="s">
        <v>17</v>
      </c>
      <c r="W27" s="778">
        <f t="shared" si="14"/>
        <v>100</v>
      </c>
      <c r="X27" s="779"/>
      <c r="Y27" s="3348"/>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48"/>
      <c r="Q28" s="1810" t="str">
        <f t="shared" si="11"/>
        <v>公共部分装修</v>
      </c>
      <c r="R28" s="774" t="s">
        <v>17</v>
      </c>
      <c r="S28" s="775">
        <f t="shared" si="12"/>
        <v>100</v>
      </c>
      <c r="T28" s="774" t="s">
        <v>17</v>
      </c>
      <c r="U28" s="775">
        <f t="shared" si="13"/>
        <v>100</v>
      </c>
      <c r="V28" s="774" t="s">
        <v>17</v>
      </c>
      <c r="W28" s="775">
        <f t="shared" si="14"/>
        <v>100</v>
      </c>
      <c r="X28" s="1813"/>
      <c r="Y28" s="3348"/>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48"/>
      <c r="Q29" s="1810" t="str">
        <f t="shared" si="11"/>
        <v>成新率</v>
      </c>
      <c r="R29" s="774" t="s">
        <v>17</v>
      </c>
      <c r="S29" s="775" t="e">
        <f t="shared" si="12"/>
        <v>#N/A</v>
      </c>
      <c r="T29" s="774" t="s">
        <v>17</v>
      </c>
      <c r="U29" s="775" t="e">
        <f t="shared" si="13"/>
        <v>#N/A</v>
      </c>
      <c r="V29" s="774" t="s">
        <v>17</v>
      </c>
      <c r="W29" s="775" t="e">
        <f t="shared" si="14"/>
        <v>#N/A</v>
      </c>
      <c r="X29" s="1813"/>
      <c r="Y29" s="3348"/>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48"/>
      <c r="Q30" s="1810" t="str">
        <f t="shared" si="11"/>
        <v>物业等级</v>
      </c>
      <c r="R30" s="774" t="s">
        <v>17</v>
      </c>
      <c r="S30" s="775">
        <f t="shared" si="12"/>
        <v>100</v>
      </c>
      <c r="T30" s="774" t="s">
        <v>17</v>
      </c>
      <c r="U30" s="775">
        <f t="shared" si="13"/>
        <v>100</v>
      </c>
      <c r="V30" s="774" t="s">
        <v>17</v>
      </c>
      <c r="W30" s="775">
        <f t="shared" si="14"/>
        <v>100</v>
      </c>
      <c r="X30" s="1813"/>
      <c r="Y30" s="3348"/>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48"/>
      <c r="Q31" s="1795" t="str">
        <f t="shared" si="11"/>
        <v>停车位面积</v>
      </c>
      <c r="R31" s="770" t="s">
        <v>17</v>
      </c>
      <c r="S31" s="771" t="e">
        <f t="shared" si="12"/>
        <v>#N/A</v>
      </c>
      <c r="T31" s="770" t="s">
        <v>17</v>
      </c>
      <c r="U31" s="771" t="e">
        <f t="shared" si="13"/>
        <v>#N/A</v>
      </c>
      <c r="V31" s="770" t="s">
        <v>17</v>
      </c>
      <c r="W31" s="771" t="e">
        <f t="shared" si="14"/>
        <v>#N/A</v>
      </c>
      <c r="X31" s="772"/>
      <c r="Y31" s="3348"/>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48" t="s">
        <v>2560</v>
      </c>
      <c r="Q32" s="1810" t="str">
        <f t="shared" si="11"/>
        <v>车位类型</v>
      </c>
      <c r="R32" s="774" t="s">
        <v>17</v>
      </c>
      <c r="S32" s="775">
        <f t="shared" si="12"/>
        <v>100</v>
      </c>
      <c r="T32" s="774" t="s">
        <v>17</v>
      </c>
      <c r="U32" s="775">
        <f t="shared" si="13"/>
        <v>100</v>
      </c>
      <c r="V32" s="774" t="s">
        <v>17</v>
      </c>
      <c r="W32" s="775">
        <f t="shared" si="14"/>
        <v>100</v>
      </c>
      <c r="X32" s="1813"/>
      <c r="Y32" s="3348"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48"/>
      <c r="Q33" s="1810" t="str">
        <f t="shared" si="11"/>
        <v>是否直接入户</v>
      </c>
      <c r="R33" s="774" t="s">
        <v>17</v>
      </c>
      <c r="S33" s="775">
        <f t="shared" si="12"/>
        <v>100</v>
      </c>
      <c r="T33" s="774" t="s">
        <v>17</v>
      </c>
      <c r="U33" s="775">
        <f t="shared" si="13"/>
        <v>100</v>
      </c>
      <c r="V33" s="774" t="s">
        <v>17</v>
      </c>
      <c r="W33" s="775">
        <f t="shared" si="14"/>
        <v>100</v>
      </c>
      <c r="X33" s="1813"/>
      <c r="Y33" s="334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48"/>
      <c r="Q34" s="1810">
        <f t="shared" si="11"/>
        <v>111</v>
      </c>
      <c r="R34" s="774" t="s">
        <v>17</v>
      </c>
      <c r="S34" s="775">
        <f t="shared" si="12"/>
        <v>100</v>
      </c>
      <c r="T34" s="774" t="s">
        <v>17</v>
      </c>
      <c r="U34" s="775">
        <f t="shared" si="13"/>
        <v>100</v>
      </c>
      <c r="V34" s="774" t="s">
        <v>17</v>
      </c>
      <c r="W34" s="775">
        <f t="shared" si="14"/>
        <v>100</v>
      </c>
      <c r="X34" s="1813"/>
      <c r="Y34" s="334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48"/>
      <c r="Q35" s="776">
        <f t="shared" si="11"/>
        <v>111</v>
      </c>
      <c r="R35" s="777" t="s">
        <v>17</v>
      </c>
      <c r="S35" s="778">
        <f t="shared" si="12"/>
        <v>100</v>
      </c>
      <c r="T35" s="777" t="s">
        <v>17</v>
      </c>
      <c r="U35" s="778">
        <f t="shared" si="13"/>
        <v>100</v>
      </c>
      <c r="V35" s="777" t="s">
        <v>17</v>
      </c>
      <c r="W35" s="778">
        <f t="shared" si="14"/>
        <v>100</v>
      </c>
      <c r="X35" s="779"/>
      <c r="Y35" s="334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48"/>
      <c r="Q36" s="1810">
        <f t="shared" si="11"/>
        <v>111</v>
      </c>
      <c r="R36" s="774" t="s">
        <v>17</v>
      </c>
      <c r="S36" s="775">
        <f t="shared" si="12"/>
        <v>100</v>
      </c>
      <c r="T36" s="774" t="s">
        <v>17</v>
      </c>
      <c r="U36" s="775">
        <f t="shared" si="13"/>
        <v>100</v>
      </c>
      <c r="V36" s="774" t="s">
        <v>17</v>
      </c>
      <c r="W36" s="775">
        <f t="shared" si="14"/>
        <v>100</v>
      </c>
      <c r="X36" s="1813"/>
      <c r="Y36" s="3348"/>
      <c r="Z36" s="1814">
        <f t="shared" si="15"/>
        <v>111</v>
      </c>
      <c r="AA36" s="1811">
        <f t="shared" si="3"/>
        <v>1</v>
      </c>
      <c r="AB36" s="1811">
        <f t="shared" si="4"/>
        <v>1</v>
      </c>
      <c r="AC36" s="1811">
        <f t="shared" si="5"/>
        <v>1</v>
      </c>
    </row>
    <row r="37" spans="1:29" ht="15">
      <c r="A37" s="479" t="s">
        <v>2715</v>
      </c>
      <c r="B37" s="2691" t="s">
        <v>2716</v>
      </c>
      <c r="C37" s="1407" t="s">
        <v>1</v>
      </c>
      <c r="D37" s="1408"/>
      <c r="E37" s="1409"/>
      <c r="F37" s="1410"/>
      <c r="G37" s="1411"/>
      <c r="H37" s="1412"/>
      <c r="I37" s="1409"/>
      <c r="J37" s="1412"/>
      <c r="K37" s="619"/>
      <c r="L37" s="1143"/>
      <c r="M37" s="1144"/>
      <c r="N37" s="1131"/>
      <c r="O37" s="1144"/>
      <c r="P37" s="3330" t="str">
        <f>A37</f>
        <v>成交单价</v>
      </c>
      <c r="Q37" s="3330"/>
      <c r="R37" s="3389">
        <f>E37</f>
        <v>0</v>
      </c>
      <c r="S37" s="3389"/>
      <c r="T37" s="3389">
        <f>G37</f>
        <v>0</v>
      </c>
      <c r="U37" s="3389"/>
      <c r="V37" s="3389">
        <f>I37</f>
        <v>0</v>
      </c>
      <c r="W37" s="3389"/>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30" t="str">
        <f>A38</f>
        <v>比较价值（元/平方米）</v>
      </c>
      <c r="Q38" s="3330"/>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350" t="str">
        <f>A39</f>
        <v>估价对象XX用房的比较价值（楼面单价，元/平方米）</v>
      </c>
      <c r="Q39" s="3351"/>
      <c r="R39" s="3388" t="e">
        <f>IF(F1="售价",ROUND(AVERAGE(R38:V38),0),ROUND(AVERAGE(R38:V38),1))</f>
        <v>#DIV/0!</v>
      </c>
      <c r="S39" s="3388"/>
      <c r="T39" s="3388"/>
      <c r="U39" s="3388"/>
      <c r="V39" s="3388"/>
      <c r="W39" s="33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31" t="s">
        <v>2641</v>
      </c>
      <c r="D4" s="3332"/>
      <c r="E4" s="3333" t="s">
        <v>2642</v>
      </c>
      <c r="F4" s="3334"/>
      <c r="G4" s="3331" t="s">
        <v>2643</v>
      </c>
      <c r="H4" s="3332"/>
      <c r="I4" s="3331" t="s">
        <v>2644</v>
      </c>
      <c r="J4" s="3332"/>
      <c r="K4" s="610" t="s">
        <v>2645</v>
      </c>
      <c r="L4" s="1130"/>
      <c r="M4" s="1131"/>
      <c r="N4" s="1131"/>
      <c r="O4" s="1131"/>
      <c r="P4" s="3335" t="s">
        <v>2646</v>
      </c>
      <c r="Q4" s="3336"/>
      <c r="R4" s="3318" t="s">
        <v>2642</v>
      </c>
      <c r="S4" s="3319"/>
      <c r="T4" s="3318" t="s">
        <v>2643</v>
      </c>
      <c r="U4" s="3319"/>
      <c r="V4" s="3343" t="s">
        <v>2644</v>
      </c>
      <c r="W4" s="3343"/>
      <c r="X4" s="1813"/>
      <c r="Y4" s="3318" t="s">
        <v>2646</v>
      </c>
      <c r="Z4" s="3319"/>
      <c r="AA4" s="3313" t="s">
        <v>2642</v>
      </c>
      <c r="AB4" s="3314" t="s">
        <v>2643</v>
      </c>
      <c r="AC4" s="3313" t="s">
        <v>2644</v>
      </c>
    </row>
    <row r="5" spans="1:29" ht="15">
      <c r="A5" s="404"/>
      <c r="B5" s="405"/>
      <c r="C5" s="3424" t="s">
        <v>2537</v>
      </c>
      <c r="D5" s="3325"/>
      <c r="E5" s="3423" t="s">
        <v>2538</v>
      </c>
      <c r="F5" s="3323"/>
      <c r="G5" s="3424" t="s">
        <v>2539</v>
      </c>
      <c r="H5" s="3325"/>
      <c r="I5" s="3424" t="s">
        <v>2540</v>
      </c>
      <c r="J5" s="3325"/>
      <c r="K5" s="610"/>
      <c r="L5" s="1130"/>
      <c r="M5" s="1131"/>
      <c r="N5" s="1131"/>
      <c r="O5" s="1131"/>
      <c r="P5" s="3337"/>
      <c r="Q5" s="3338"/>
      <c r="R5" s="3320"/>
      <c r="S5" s="3321"/>
      <c r="T5" s="3320"/>
      <c r="U5" s="3321"/>
      <c r="V5" s="3343"/>
      <c r="W5" s="3343"/>
      <c r="X5" s="1813"/>
      <c r="Y5" s="3320"/>
      <c r="Z5" s="3321"/>
      <c r="AA5" s="3314"/>
      <c r="AB5" s="3314"/>
      <c r="AC5" s="3314"/>
    </row>
    <row r="6" spans="1:29" ht="15.75" thickBot="1">
      <c r="A6" s="406"/>
      <c r="B6" s="407"/>
      <c r="C6" s="3425" t="s">
        <v>2541</v>
      </c>
      <c r="D6" s="3327"/>
      <c r="E6" s="3426" t="s">
        <v>2541</v>
      </c>
      <c r="F6" s="3329"/>
      <c r="G6" s="3425" t="s">
        <v>2541</v>
      </c>
      <c r="H6" s="3327"/>
      <c r="I6" s="3425" t="s">
        <v>2541</v>
      </c>
      <c r="J6" s="3327"/>
      <c r="K6" s="610" t="s">
        <v>2542</v>
      </c>
      <c r="L6" s="1130"/>
      <c r="M6" s="1131"/>
      <c r="N6" s="1131"/>
      <c r="O6" s="1131"/>
      <c r="P6" s="3339"/>
      <c r="Q6" s="3340"/>
      <c r="R6" s="3320"/>
      <c r="S6" s="3321"/>
      <c r="T6" s="3341"/>
      <c r="U6" s="3342"/>
      <c r="V6" s="3343"/>
      <c r="W6" s="3343"/>
      <c r="X6" s="1813"/>
      <c r="Y6" s="3341"/>
      <c r="Z6" s="3342"/>
      <c r="AA6" s="3315"/>
      <c r="AB6" s="3315"/>
      <c r="AC6" s="3315"/>
    </row>
    <row r="7" spans="1:29" s="117" customFormat="1" ht="15.75" thickBot="1">
      <c r="A7" s="408" t="s">
        <v>2543</v>
      </c>
      <c r="B7" s="409"/>
      <c r="C7" s="410">
        <f>'数据-取费表'!B2</f>
        <v>43111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316" t="s">
        <v>2544</v>
      </c>
      <c r="Q7" s="3344"/>
      <c r="R7" s="770" t="s">
        <v>17</v>
      </c>
      <c r="S7" s="771">
        <f t="shared" ref="S7:S14" si="0">F7</f>
        <v>0</v>
      </c>
      <c r="T7" s="770" t="s">
        <v>17</v>
      </c>
      <c r="U7" s="771">
        <f t="shared" ref="U7:U14" si="1">H7</f>
        <v>0</v>
      </c>
      <c r="V7" s="770" t="s">
        <v>17</v>
      </c>
      <c r="W7" s="771">
        <f t="shared" ref="W7:W14" si="2">J7</f>
        <v>0</v>
      </c>
      <c r="X7" s="772"/>
      <c r="Y7" s="3316" t="s">
        <v>2544</v>
      </c>
      <c r="Z7" s="3317"/>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16" t="s">
        <v>2547</v>
      </c>
      <c r="Q8" s="3317"/>
      <c r="R8" s="770" t="s">
        <v>17</v>
      </c>
      <c r="S8" s="771">
        <f t="shared" si="0"/>
        <v>0</v>
      </c>
      <c r="T8" s="770" t="s">
        <v>17</v>
      </c>
      <c r="U8" s="771">
        <f t="shared" si="1"/>
        <v>0</v>
      </c>
      <c r="V8" s="770" t="s">
        <v>17</v>
      </c>
      <c r="W8" s="771">
        <f t="shared" si="2"/>
        <v>0</v>
      </c>
      <c r="X8" s="772"/>
      <c r="Y8" s="3316" t="s">
        <v>2547</v>
      </c>
      <c r="Z8" s="3317"/>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30" t="s">
        <v>2550</v>
      </c>
      <c r="Q9" s="1795" t="str">
        <f t="shared" ref="Q9:Q14" si="6">B9</f>
        <v>用途</v>
      </c>
      <c r="R9" s="770" t="s">
        <v>17</v>
      </c>
      <c r="S9" s="771">
        <f t="shared" si="0"/>
        <v>100</v>
      </c>
      <c r="T9" s="770" t="s">
        <v>17</v>
      </c>
      <c r="U9" s="771">
        <f t="shared" si="1"/>
        <v>100</v>
      </c>
      <c r="V9" s="770" t="s">
        <v>17</v>
      </c>
      <c r="W9" s="771">
        <f t="shared" si="2"/>
        <v>100</v>
      </c>
      <c r="X9" s="772"/>
      <c r="Y9" s="3171"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30"/>
      <c r="Q10" s="1795" t="str">
        <f t="shared" si="6"/>
        <v>土地使用年限（年）</v>
      </c>
      <c r="R10" s="770" t="s">
        <v>17</v>
      </c>
      <c r="S10" s="771">
        <f t="shared" si="0"/>
        <v>100</v>
      </c>
      <c r="T10" s="770" t="s">
        <v>17</v>
      </c>
      <c r="U10" s="771">
        <f t="shared" si="1"/>
        <v>100</v>
      </c>
      <c r="V10" s="770" t="s">
        <v>17</v>
      </c>
      <c r="W10" s="771">
        <f t="shared" si="2"/>
        <v>100</v>
      </c>
      <c r="X10" s="772"/>
      <c r="Y10" s="3171"/>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30"/>
      <c r="Q11" s="1795">
        <f t="shared" si="6"/>
        <v>111</v>
      </c>
      <c r="R11" s="770" t="s">
        <v>17</v>
      </c>
      <c r="S11" s="771">
        <f t="shared" si="0"/>
        <v>100</v>
      </c>
      <c r="T11" s="770" t="s">
        <v>17</v>
      </c>
      <c r="U11" s="771">
        <f t="shared" si="1"/>
        <v>100</v>
      </c>
      <c r="V11" s="770" t="s">
        <v>17</v>
      </c>
      <c r="W11" s="771">
        <f t="shared" si="2"/>
        <v>100</v>
      </c>
      <c r="X11" s="772"/>
      <c r="Y11" s="3171"/>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30"/>
      <c r="Q12" s="1795">
        <f t="shared" si="6"/>
        <v>111</v>
      </c>
      <c r="R12" s="770" t="s">
        <v>17</v>
      </c>
      <c r="S12" s="771">
        <f t="shared" si="0"/>
        <v>100</v>
      </c>
      <c r="T12" s="770" t="s">
        <v>17</v>
      </c>
      <c r="U12" s="771">
        <f t="shared" si="1"/>
        <v>100</v>
      </c>
      <c r="V12" s="770" t="s">
        <v>17</v>
      </c>
      <c r="W12" s="771">
        <f t="shared" si="2"/>
        <v>100</v>
      </c>
      <c r="X12" s="772"/>
      <c r="Y12" s="3171"/>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330"/>
      <c r="Q13" s="1795">
        <f t="shared" si="6"/>
        <v>111</v>
      </c>
      <c r="R13" s="770" t="s">
        <v>17</v>
      </c>
      <c r="S13" s="771">
        <f t="shared" si="0"/>
        <v>100</v>
      </c>
      <c r="T13" s="770" t="s">
        <v>17</v>
      </c>
      <c r="U13" s="771">
        <f t="shared" si="1"/>
        <v>100</v>
      </c>
      <c r="V13" s="770" t="s">
        <v>17</v>
      </c>
      <c r="W13" s="771">
        <f t="shared" si="2"/>
        <v>100</v>
      </c>
      <c r="X13" s="772"/>
      <c r="Y13" s="3171"/>
      <c r="Z13" s="55">
        <f t="shared" si="7"/>
        <v>111</v>
      </c>
      <c r="AA13" s="773">
        <f t="shared" si="3"/>
        <v>1</v>
      </c>
      <c r="AB13" s="773">
        <f t="shared" si="4"/>
        <v>1</v>
      </c>
      <c r="AC13" s="773">
        <f t="shared" si="5"/>
        <v>1</v>
      </c>
    </row>
    <row r="14" spans="1:29" ht="128.25">
      <c r="A14" s="440" t="s">
        <v>2554</v>
      </c>
      <c r="B14" s="69" t="s">
        <v>2704</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45" t="s">
        <v>2555</v>
      </c>
      <c r="Q14" s="1810" t="str">
        <f t="shared" si="6"/>
        <v>交通便捷度</v>
      </c>
      <c r="R14" s="774" t="s">
        <v>17</v>
      </c>
      <c r="S14" s="775">
        <f t="shared" si="0"/>
        <v>100</v>
      </c>
      <c r="T14" s="774" t="s">
        <v>17</v>
      </c>
      <c r="U14" s="775">
        <f t="shared" si="1"/>
        <v>100</v>
      </c>
      <c r="V14" s="774" t="s">
        <v>17</v>
      </c>
      <c r="W14" s="775">
        <f t="shared" si="2"/>
        <v>100</v>
      </c>
      <c r="X14" s="1813"/>
      <c r="Y14" s="3345"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46"/>
      <c r="Q15" s="1810"/>
      <c r="R15" s="774"/>
      <c r="S15" s="775"/>
      <c r="T15" s="774"/>
      <c r="U15" s="775"/>
      <c r="V15" s="774"/>
      <c r="W15" s="775"/>
      <c r="X15" s="1813"/>
      <c r="Y15" s="3346"/>
      <c r="Z15" s="1814"/>
      <c r="AA15" s="1811">
        <v>1</v>
      </c>
      <c r="AB15" s="1811">
        <v>1</v>
      </c>
      <c r="AC15" s="1811">
        <v>1</v>
      </c>
    </row>
    <row r="16" spans="1:29" ht="213.75">
      <c r="A16" s="428"/>
      <c r="B16" s="451" t="s">
        <v>2683</v>
      </c>
      <c r="C16" s="2604"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46"/>
      <c r="Q16" s="1810" t="str">
        <f>B16</f>
        <v>公共配套设施</v>
      </c>
      <c r="R16" s="774" t="s">
        <v>17</v>
      </c>
      <c r="S16" s="775">
        <f>F16</f>
        <v>100</v>
      </c>
      <c r="T16" s="774" t="s">
        <v>17</v>
      </c>
      <c r="U16" s="775">
        <f>H16</f>
        <v>100</v>
      </c>
      <c r="V16" s="774" t="s">
        <v>17</v>
      </c>
      <c r="W16" s="775">
        <f>J16</f>
        <v>100</v>
      </c>
      <c r="X16" s="1813"/>
      <c r="Y16" s="3346"/>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346"/>
      <c r="Q17" s="1810"/>
      <c r="R17" s="774"/>
      <c r="S17" s="775"/>
      <c r="T17" s="774"/>
      <c r="U17" s="775"/>
      <c r="V17" s="774"/>
      <c r="W17" s="775"/>
      <c r="X17" s="1813"/>
      <c r="Y17" s="3346"/>
      <c r="Z17" s="1814"/>
      <c r="AA17" s="1811">
        <v>1</v>
      </c>
      <c r="AB17" s="1811">
        <v>1</v>
      </c>
      <c r="AC17" s="1811">
        <v>1</v>
      </c>
    </row>
    <row r="18" spans="1:29" ht="42.75">
      <c r="A18" s="428"/>
      <c r="B18" s="1384" t="s">
        <v>2684</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46"/>
      <c r="Q18" s="1810" t="str">
        <f>B18</f>
        <v>基础设施水平</v>
      </c>
      <c r="R18" s="774" t="s">
        <v>17</v>
      </c>
      <c r="S18" s="775">
        <f>F18</f>
        <v>100</v>
      </c>
      <c r="T18" s="774" t="s">
        <v>17</v>
      </c>
      <c r="U18" s="775">
        <f>H18</f>
        <v>100</v>
      </c>
      <c r="V18" s="774" t="s">
        <v>17</v>
      </c>
      <c r="W18" s="775">
        <f>J18</f>
        <v>100</v>
      </c>
      <c r="X18" s="1813"/>
      <c r="Y18" s="3346"/>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346"/>
      <c r="Q19" s="1810"/>
      <c r="R19" s="774"/>
      <c r="S19" s="775"/>
      <c r="T19" s="774"/>
      <c r="U19" s="775"/>
      <c r="V19" s="774"/>
      <c r="W19" s="775"/>
      <c r="X19" s="1813"/>
      <c r="Y19" s="3346"/>
      <c r="Z19" s="1814"/>
      <c r="AA19" s="1811">
        <v>1</v>
      </c>
      <c r="AB19" s="1811">
        <v>1</v>
      </c>
      <c r="AC19" s="1811">
        <v>1</v>
      </c>
    </row>
    <row r="20" spans="1:29" ht="99.75">
      <c r="A20" s="428"/>
      <c r="B20" s="451" t="s">
        <v>2705</v>
      </c>
      <c r="C20" s="2604" t="str">
        <f>IF(B1="工业",估价对象房地状况!G7,估价对象房地状况!C9)</f>
        <v>区域自然环境：未来科技城滨河公园；人文环境：无展览馆、博物馆等；综合评价环境状况一般。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46"/>
      <c r="Q20" s="1810" t="str">
        <f>B20</f>
        <v>自然及人文环境</v>
      </c>
      <c r="R20" s="774" t="s">
        <v>17</v>
      </c>
      <c r="S20" s="775">
        <f>F20</f>
        <v>100</v>
      </c>
      <c r="T20" s="774" t="s">
        <v>17</v>
      </c>
      <c r="U20" s="775">
        <f>H20</f>
        <v>100</v>
      </c>
      <c r="V20" s="774" t="s">
        <v>17</v>
      </c>
      <c r="W20" s="775">
        <f>J20</f>
        <v>100</v>
      </c>
      <c r="X20" s="1813"/>
      <c r="Y20" s="334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46"/>
      <c r="Q21" s="1810"/>
      <c r="R21" s="774"/>
      <c r="S21" s="775"/>
      <c r="T21" s="774"/>
      <c r="U21" s="775"/>
      <c r="V21" s="774"/>
      <c r="W21" s="775"/>
      <c r="X21" s="1813"/>
      <c r="Y21" s="3346"/>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46"/>
      <c r="Q22" s="1810" t="str">
        <f>B22</f>
        <v>楼层</v>
      </c>
      <c r="R22" s="774" t="s">
        <v>17</v>
      </c>
      <c r="S22" s="775">
        <f>F22</f>
        <v>100</v>
      </c>
      <c r="T22" s="774" t="s">
        <v>17</v>
      </c>
      <c r="U22" s="775">
        <f>H22</f>
        <v>100</v>
      </c>
      <c r="V22" s="774" t="s">
        <v>17</v>
      </c>
      <c r="W22" s="775">
        <f>J22</f>
        <v>100</v>
      </c>
      <c r="X22" s="1813"/>
      <c r="Y22" s="3346"/>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46"/>
      <c r="Q23" s="1810">
        <f>B23</f>
        <v>111</v>
      </c>
      <c r="R23" s="774" t="s">
        <v>17</v>
      </c>
      <c r="S23" s="775">
        <f>F23</f>
        <v>100</v>
      </c>
      <c r="T23" s="774" t="s">
        <v>17</v>
      </c>
      <c r="U23" s="775">
        <f>H23</f>
        <v>100</v>
      </c>
      <c r="V23" s="774" t="s">
        <v>17</v>
      </c>
      <c r="W23" s="775">
        <f>J23</f>
        <v>100</v>
      </c>
      <c r="X23" s="1813"/>
      <c r="Y23" s="3346"/>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46"/>
      <c r="Q24" s="1810">
        <f t="shared" ref="Q24:Q34" si="11">B24</f>
        <v>111</v>
      </c>
      <c r="R24" s="774" t="s">
        <v>17</v>
      </c>
      <c r="S24" s="775">
        <f>F24</f>
        <v>100</v>
      </c>
      <c r="T24" s="774" t="s">
        <v>17</v>
      </c>
      <c r="U24" s="775">
        <f>H24</f>
        <v>100</v>
      </c>
      <c r="V24" s="774" t="s">
        <v>17</v>
      </c>
      <c r="W24" s="775">
        <f>J24</f>
        <v>100</v>
      </c>
      <c r="X24" s="1813"/>
      <c r="Y24" s="3346"/>
      <c r="Z24" s="1814">
        <f>Q24</f>
        <v>111</v>
      </c>
      <c r="AA24" s="1811">
        <f t="shared" si="3"/>
        <v>1</v>
      </c>
      <c r="AB24" s="1811">
        <f t="shared" si="4"/>
        <v>1</v>
      </c>
      <c r="AC24" s="1811">
        <f t="shared" si="5"/>
        <v>1</v>
      </c>
    </row>
    <row r="25" spans="1:29" s="117" customFormat="1" ht="15.75" thickBot="1">
      <c r="A25" s="431"/>
      <c r="B25" s="2597">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346"/>
      <c r="Q25" s="1795">
        <f t="shared" si="11"/>
        <v>111</v>
      </c>
      <c r="R25" s="770" t="s">
        <v>17</v>
      </c>
      <c r="S25" s="771">
        <f>F25</f>
        <v>100</v>
      </c>
      <c r="T25" s="770" t="s">
        <v>17</v>
      </c>
      <c r="U25" s="771">
        <f>H25</f>
        <v>100</v>
      </c>
      <c r="V25" s="770" t="s">
        <v>17</v>
      </c>
      <c r="W25" s="771">
        <f>J25</f>
        <v>100</v>
      </c>
      <c r="X25" s="772"/>
      <c r="Y25" s="3346"/>
      <c r="Z25" s="55">
        <f>Q25</f>
        <v>111</v>
      </c>
      <c r="AA25" s="1811">
        <f>D25/F25</f>
        <v>1</v>
      </c>
      <c r="AB25" s="1811">
        <f>D25/H25</f>
        <v>1</v>
      </c>
      <c r="AC25" s="1811">
        <f>D25/J25</f>
        <v>1</v>
      </c>
    </row>
    <row r="26" spans="1:29" ht="15">
      <c r="A26" s="466" t="s">
        <v>2558</v>
      </c>
      <c r="B26" s="71" t="s">
        <v>2709</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347"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48"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48"/>
      <c r="Q27" s="776" t="str">
        <f t="shared" si="11"/>
        <v>成新率</v>
      </c>
      <c r="R27" s="777" t="s">
        <v>17</v>
      </c>
      <c r="S27" s="778" t="e">
        <f t="shared" si="12"/>
        <v>#N/A</v>
      </c>
      <c r="T27" s="777" t="s">
        <v>17</v>
      </c>
      <c r="U27" s="778" t="e">
        <f t="shared" si="13"/>
        <v>#N/A</v>
      </c>
      <c r="V27" s="777" t="s">
        <v>17</v>
      </c>
      <c r="W27" s="778" t="e">
        <f t="shared" si="14"/>
        <v>#N/A</v>
      </c>
      <c r="X27" s="779"/>
      <c r="Y27" s="3348"/>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48"/>
      <c r="Q28" s="1810" t="str">
        <f t="shared" si="11"/>
        <v>物业等级</v>
      </c>
      <c r="R28" s="774" t="s">
        <v>17</v>
      </c>
      <c r="S28" s="775">
        <f t="shared" si="12"/>
        <v>100</v>
      </c>
      <c r="T28" s="774" t="s">
        <v>17</v>
      </c>
      <c r="U28" s="775">
        <f t="shared" si="13"/>
        <v>100</v>
      </c>
      <c r="V28" s="774" t="s">
        <v>17</v>
      </c>
      <c r="W28" s="775">
        <f t="shared" si="14"/>
        <v>100</v>
      </c>
      <c r="X28" s="1813"/>
      <c r="Y28" s="3348"/>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48"/>
      <c r="Q29" s="1810" t="str">
        <f t="shared" si="11"/>
        <v>有无电梯</v>
      </c>
      <c r="R29" s="774" t="s">
        <v>17</v>
      </c>
      <c r="S29" s="775">
        <f t="shared" si="12"/>
        <v>100</v>
      </c>
      <c r="T29" s="774" t="s">
        <v>17</v>
      </c>
      <c r="U29" s="775">
        <f t="shared" si="13"/>
        <v>100</v>
      </c>
      <c r="V29" s="774" t="s">
        <v>17</v>
      </c>
      <c r="W29" s="775">
        <f t="shared" si="14"/>
        <v>100</v>
      </c>
      <c r="X29" s="1813"/>
      <c r="Y29" s="3348"/>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48"/>
      <c r="Q30" s="1810" t="str">
        <f t="shared" si="11"/>
        <v>建筑面积</v>
      </c>
      <c r="R30" s="774" t="s">
        <v>17</v>
      </c>
      <c r="S30" s="775" t="e">
        <f t="shared" si="12"/>
        <v>#N/A</v>
      </c>
      <c r="T30" s="774" t="s">
        <v>17</v>
      </c>
      <c r="U30" s="775" t="e">
        <f t="shared" si="13"/>
        <v>#N/A</v>
      </c>
      <c r="V30" s="774" t="s">
        <v>17</v>
      </c>
      <c r="W30" s="775" t="e">
        <f t="shared" si="14"/>
        <v>#N/A</v>
      </c>
      <c r="X30" s="1813"/>
      <c r="Y30" s="3348"/>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48"/>
      <c r="Q31" s="1795" t="str">
        <f t="shared" si="11"/>
        <v>是否封闭</v>
      </c>
      <c r="R31" s="770" t="s">
        <v>17</v>
      </c>
      <c r="S31" s="771">
        <f t="shared" si="12"/>
        <v>100</v>
      </c>
      <c r="T31" s="770" t="s">
        <v>17</v>
      </c>
      <c r="U31" s="771">
        <f t="shared" si="13"/>
        <v>100</v>
      </c>
      <c r="V31" s="770" t="s">
        <v>17</v>
      </c>
      <c r="W31" s="771">
        <f t="shared" si="14"/>
        <v>100</v>
      </c>
      <c r="X31" s="772"/>
      <c r="Y31" s="3348"/>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48" t="s">
        <v>2560</v>
      </c>
      <c r="Q32" s="1810">
        <f t="shared" si="11"/>
        <v>111</v>
      </c>
      <c r="R32" s="774" t="s">
        <v>17</v>
      </c>
      <c r="S32" s="775">
        <f t="shared" si="12"/>
        <v>100</v>
      </c>
      <c r="T32" s="774" t="s">
        <v>17</v>
      </c>
      <c r="U32" s="775">
        <f t="shared" si="13"/>
        <v>100</v>
      </c>
      <c r="V32" s="774" t="s">
        <v>17</v>
      </c>
      <c r="W32" s="775">
        <f t="shared" si="14"/>
        <v>100</v>
      </c>
      <c r="X32" s="1813"/>
      <c r="Y32" s="3348" t="s">
        <v>2560</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48"/>
      <c r="Q33" s="1810">
        <f t="shared" si="11"/>
        <v>111</v>
      </c>
      <c r="R33" s="774" t="s">
        <v>17</v>
      </c>
      <c r="S33" s="775">
        <f t="shared" si="12"/>
        <v>100</v>
      </c>
      <c r="T33" s="774" t="s">
        <v>17</v>
      </c>
      <c r="U33" s="775">
        <f t="shared" si="13"/>
        <v>100</v>
      </c>
      <c r="V33" s="774" t="s">
        <v>17</v>
      </c>
      <c r="W33" s="775">
        <f t="shared" si="14"/>
        <v>100</v>
      </c>
      <c r="X33" s="1813"/>
      <c r="Y33" s="3348"/>
      <c r="Z33" s="1814">
        <f t="shared" si="15"/>
        <v>111</v>
      </c>
      <c r="AA33" s="1811">
        <f t="shared" si="3"/>
        <v>1</v>
      </c>
      <c r="AB33" s="1811">
        <f t="shared" si="4"/>
        <v>1</v>
      </c>
      <c r="AC33" s="1811">
        <f t="shared" si="5"/>
        <v>1</v>
      </c>
    </row>
    <row r="34" spans="1:29" ht="15.75" thickBot="1">
      <c r="A34" s="478"/>
      <c r="B34" s="2599">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348"/>
      <c r="Q34" s="1810">
        <f t="shared" si="11"/>
        <v>111</v>
      </c>
      <c r="R34" s="774" t="s">
        <v>17</v>
      </c>
      <c r="S34" s="775">
        <f t="shared" si="12"/>
        <v>100</v>
      </c>
      <c r="T34" s="774" t="s">
        <v>17</v>
      </c>
      <c r="U34" s="775">
        <f t="shared" si="13"/>
        <v>100</v>
      </c>
      <c r="V34" s="774" t="s">
        <v>17</v>
      </c>
      <c r="W34" s="775">
        <f t="shared" si="14"/>
        <v>100</v>
      </c>
      <c r="X34" s="1813"/>
      <c r="Y34" s="3348"/>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330" t="str">
        <f>A35</f>
        <v>成交单价（元/平方米）</v>
      </c>
      <c r="Q35" s="3330"/>
      <c r="R35" s="3389">
        <f>E35</f>
        <v>0</v>
      </c>
      <c r="S35" s="3389"/>
      <c r="T35" s="3389">
        <f>G35</f>
        <v>0</v>
      </c>
      <c r="U35" s="3389"/>
      <c r="V35" s="3389">
        <f>I35</f>
        <v>0</v>
      </c>
      <c r="W35" s="3389"/>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330" t="str">
        <f>A36</f>
        <v>比较价值（元/平方米）</v>
      </c>
      <c r="Q36" s="3330"/>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350" t="str">
        <f>A37</f>
        <v>估价对象XX用房的比较价值（楼面单价，元/平方米）</v>
      </c>
      <c r="Q37" s="3351"/>
      <c r="R37" s="3388" t="e">
        <f>IF(F1="售价",ROUND(AVERAGE(R36:V36),0),ROUND(AVERAGE(R36:V36),1))</f>
        <v>#DIV/0!</v>
      </c>
      <c r="S37" s="3388"/>
      <c r="T37" s="3388"/>
      <c r="U37" s="3388"/>
      <c r="V37" s="3388"/>
      <c r="W37" s="33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31" t="s">
        <v>2641</v>
      </c>
      <c r="D4" s="3332"/>
      <c r="E4" s="3333" t="s">
        <v>2642</v>
      </c>
      <c r="F4" s="3334"/>
      <c r="G4" s="3331" t="s">
        <v>2643</v>
      </c>
      <c r="H4" s="3332"/>
      <c r="I4" s="3331" t="s">
        <v>2644</v>
      </c>
      <c r="J4" s="3332"/>
      <c r="K4" s="610" t="s">
        <v>2645</v>
      </c>
      <c r="L4" s="1130"/>
      <c r="M4" s="1131"/>
      <c r="N4" s="1131"/>
      <c r="O4" s="1131"/>
      <c r="P4" s="3335" t="s">
        <v>2646</v>
      </c>
      <c r="Q4" s="3336"/>
      <c r="R4" s="3318" t="s">
        <v>2642</v>
      </c>
      <c r="S4" s="3319"/>
      <c r="T4" s="3318" t="s">
        <v>2643</v>
      </c>
      <c r="U4" s="3319"/>
      <c r="V4" s="3343" t="s">
        <v>2644</v>
      </c>
      <c r="W4" s="3343"/>
      <c r="X4" s="1813"/>
      <c r="Y4" s="3318" t="s">
        <v>2646</v>
      </c>
      <c r="Z4" s="3319"/>
      <c r="AA4" s="3313" t="s">
        <v>2642</v>
      </c>
      <c r="AB4" s="3314" t="s">
        <v>2643</v>
      </c>
      <c r="AC4" s="3313" t="s">
        <v>2644</v>
      </c>
    </row>
    <row r="5" spans="1:29" ht="15">
      <c r="A5" s="404"/>
      <c r="B5" s="405"/>
      <c r="C5" s="3424" t="s">
        <v>2537</v>
      </c>
      <c r="D5" s="3325"/>
      <c r="E5" s="3423" t="s">
        <v>2538</v>
      </c>
      <c r="F5" s="3323"/>
      <c r="G5" s="3424" t="s">
        <v>2539</v>
      </c>
      <c r="H5" s="3325"/>
      <c r="I5" s="3424" t="s">
        <v>2540</v>
      </c>
      <c r="J5" s="3325"/>
      <c r="K5" s="610"/>
      <c r="L5" s="1130"/>
      <c r="M5" s="1131"/>
      <c r="N5" s="1131"/>
      <c r="O5" s="1131"/>
      <c r="P5" s="3337"/>
      <c r="Q5" s="3338"/>
      <c r="R5" s="3320"/>
      <c r="S5" s="3321"/>
      <c r="T5" s="3320"/>
      <c r="U5" s="3321"/>
      <c r="V5" s="3343"/>
      <c r="W5" s="3343"/>
      <c r="X5" s="1813"/>
      <c r="Y5" s="3320"/>
      <c r="Z5" s="3321"/>
      <c r="AA5" s="3314"/>
      <c r="AB5" s="3314"/>
      <c r="AC5" s="3314"/>
    </row>
    <row r="6" spans="1:29" ht="15.75" thickBot="1">
      <c r="A6" s="406"/>
      <c r="B6" s="407"/>
      <c r="C6" s="3442" t="s">
        <v>2791</v>
      </c>
      <c r="D6" s="3443"/>
      <c r="E6" s="3444" t="s">
        <v>2791</v>
      </c>
      <c r="F6" s="3445"/>
      <c r="G6" s="3442" t="s">
        <v>2791</v>
      </c>
      <c r="H6" s="3443"/>
      <c r="I6" s="3442" t="s">
        <v>2791</v>
      </c>
      <c r="J6" s="3443"/>
      <c r="K6" s="610" t="s">
        <v>2542</v>
      </c>
      <c r="L6" s="1130"/>
      <c r="M6" s="1131"/>
      <c r="N6" s="1131"/>
      <c r="O6" s="1131"/>
      <c r="P6" s="3339"/>
      <c r="Q6" s="3340"/>
      <c r="R6" s="3320"/>
      <c r="S6" s="3321"/>
      <c r="T6" s="3341"/>
      <c r="U6" s="3342"/>
      <c r="V6" s="3343"/>
      <c r="W6" s="3343"/>
      <c r="X6" s="1813"/>
      <c r="Y6" s="3341"/>
      <c r="Z6" s="3342"/>
      <c r="AA6" s="3315"/>
      <c r="AB6" s="3315"/>
      <c r="AC6" s="3315"/>
    </row>
    <row r="7" spans="1:29" s="117" customFormat="1" ht="15.75" thickBot="1">
      <c r="A7" s="408" t="s">
        <v>2543</v>
      </c>
      <c r="B7" s="409"/>
      <c r="C7" s="410">
        <f>'数据-取费表'!B2</f>
        <v>43111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316" t="s">
        <v>2544</v>
      </c>
      <c r="Q7" s="3344"/>
      <c r="R7" s="770" t="s">
        <v>17</v>
      </c>
      <c r="S7" s="771">
        <f t="shared" ref="S7:S15" si="0">F7</f>
        <v>0</v>
      </c>
      <c r="T7" s="770" t="s">
        <v>17</v>
      </c>
      <c r="U7" s="771">
        <f t="shared" ref="U7:U15" si="1">H7</f>
        <v>0</v>
      </c>
      <c r="V7" s="770" t="s">
        <v>17</v>
      </c>
      <c r="W7" s="771">
        <f t="shared" ref="W7:W15" si="2">J7</f>
        <v>0</v>
      </c>
      <c r="X7" s="772"/>
      <c r="Y7" s="3316" t="s">
        <v>2544</v>
      </c>
      <c r="Z7" s="3317"/>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16" t="s">
        <v>2547</v>
      </c>
      <c r="Q8" s="3317"/>
      <c r="R8" s="770" t="s">
        <v>17</v>
      </c>
      <c r="S8" s="771">
        <f t="shared" si="0"/>
        <v>0</v>
      </c>
      <c r="T8" s="770" t="s">
        <v>17</v>
      </c>
      <c r="U8" s="771">
        <f t="shared" si="1"/>
        <v>0</v>
      </c>
      <c r="V8" s="770" t="s">
        <v>17</v>
      </c>
      <c r="W8" s="771">
        <f t="shared" si="2"/>
        <v>0</v>
      </c>
      <c r="X8" s="772"/>
      <c r="Y8" s="3316" t="s">
        <v>2547</v>
      </c>
      <c r="Z8" s="3317"/>
      <c r="AA8" s="773" t="e">
        <f t="shared" ref="AA8:AA40" si="3">D8/F8</f>
        <v>#DIV/0!</v>
      </c>
      <c r="AB8" s="773" t="e">
        <f t="shared" ref="AB8:AB40" si="4">D8/H8</f>
        <v>#DIV/0!</v>
      </c>
      <c r="AC8" s="773"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330" t="s">
        <v>2550</v>
      </c>
      <c r="Q9" s="1795" t="str">
        <f t="shared" ref="Q9:Q15" si="6">B9</f>
        <v>用途</v>
      </c>
      <c r="R9" s="770" t="s">
        <v>17</v>
      </c>
      <c r="S9" s="771">
        <f t="shared" si="0"/>
        <v>100</v>
      </c>
      <c r="T9" s="770" t="s">
        <v>17</v>
      </c>
      <c r="U9" s="771">
        <f t="shared" si="1"/>
        <v>100</v>
      </c>
      <c r="V9" s="770" t="s">
        <v>17</v>
      </c>
      <c r="W9" s="771">
        <f t="shared" si="2"/>
        <v>100</v>
      </c>
      <c r="X9" s="772"/>
      <c r="Y9" s="3171"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330"/>
      <c r="Q10" s="1795" t="str">
        <f t="shared" si="6"/>
        <v>土地使用年限（年）</v>
      </c>
      <c r="R10" s="770" t="s">
        <v>17</v>
      </c>
      <c r="S10" s="771">
        <f t="shared" si="0"/>
        <v>101</v>
      </c>
      <c r="T10" s="770" t="s">
        <v>17</v>
      </c>
      <c r="U10" s="771">
        <f t="shared" si="1"/>
        <v>101</v>
      </c>
      <c r="V10" s="770" t="s">
        <v>17</v>
      </c>
      <c r="W10" s="771">
        <f t="shared" si="2"/>
        <v>101</v>
      </c>
      <c r="X10" s="772"/>
      <c r="Y10" s="3171"/>
      <c r="Z10" s="55" t="str">
        <f t="shared" si="7"/>
        <v>土地使用年限（年）</v>
      </c>
      <c r="AA10" s="773">
        <f t="shared" si="3"/>
        <v>0.99009900990099009</v>
      </c>
      <c r="AB10" s="773">
        <f t="shared" si="4"/>
        <v>0.99009900990099009</v>
      </c>
      <c r="AC10" s="773">
        <f t="shared" si="5"/>
        <v>0.99009900990099009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30"/>
      <c r="Q11" s="1795" t="str">
        <f t="shared" si="6"/>
        <v>容积率</v>
      </c>
      <c r="R11" s="770" t="s">
        <v>17</v>
      </c>
      <c r="S11" s="771" t="e">
        <f t="shared" si="0"/>
        <v>#N/A</v>
      </c>
      <c r="T11" s="770" t="s">
        <v>17</v>
      </c>
      <c r="U11" s="771" t="e">
        <f t="shared" si="1"/>
        <v>#N/A</v>
      </c>
      <c r="V11" s="770" t="s">
        <v>17</v>
      </c>
      <c r="W11" s="771" t="e">
        <f t="shared" si="2"/>
        <v>#N/A</v>
      </c>
      <c r="X11" s="772"/>
      <c r="Y11" s="3171"/>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30"/>
      <c r="Q12" s="1795">
        <f t="shared" si="6"/>
        <v>111</v>
      </c>
      <c r="R12" s="770" t="s">
        <v>17</v>
      </c>
      <c r="S12" s="771">
        <f t="shared" si="0"/>
        <v>100</v>
      </c>
      <c r="T12" s="770" t="s">
        <v>17</v>
      </c>
      <c r="U12" s="771">
        <f t="shared" si="1"/>
        <v>100</v>
      </c>
      <c r="V12" s="770" t="s">
        <v>17</v>
      </c>
      <c r="W12" s="771">
        <f t="shared" si="2"/>
        <v>100</v>
      </c>
      <c r="X12" s="772"/>
      <c r="Y12" s="3171"/>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30"/>
      <c r="Q13" s="1795">
        <f t="shared" si="6"/>
        <v>111</v>
      </c>
      <c r="R13" s="770" t="s">
        <v>17</v>
      </c>
      <c r="S13" s="771">
        <f t="shared" si="0"/>
        <v>100</v>
      </c>
      <c r="T13" s="770" t="s">
        <v>17</v>
      </c>
      <c r="U13" s="771">
        <f t="shared" si="1"/>
        <v>100</v>
      </c>
      <c r="V13" s="770" t="s">
        <v>17</v>
      </c>
      <c r="W13" s="771">
        <f t="shared" si="2"/>
        <v>100</v>
      </c>
      <c r="X13" s="772"/>
      <c r="Y13" s="3171"/>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30"/>
      <c r="Q14" s="1795">
        <f t="shared" si="6"/>
        <v>111</v>
      </c>
      <c r="R14" s="770" t="s">
        <v>17</v>
      </c>
      <c r="S14" s="771">
        <f t="shared" si="0"/>
        <v>100</v>
      </c>
      <c r="T14" s="770" t="s">
        <v>17</v>
      </c>
      <c r="U14" s="771">
        <f t="shared" si="1"/>
        <v>100</v>
      </c>
      <c r="V14" s="770" t="s">
        <v>17</v>
      </c>
      <c r="W14" s="771">
        <f t="shared" si="2"/>
        <v>100</v>
      </c>
      <c r="X14" s="772"/>
      <c r="Y14" s="3171"/>
      <c r="Z14" s="55">
        <f t="shared" si="7"/>
        <v>111</v>
      </c>
      <c r="AA14" s="773">
        <f t="shared" si="3"/>
        <v>1</v>
      </c>
      <c r="AB14" s="773">
        <f t="shared" si="4"/>
        <v>1</v>
      </c>
      <c r="AC14" s="773">
        <f t="shared" si="5"/>
        <v>1</v>
      </c>
    </row>
    <row r="15" spans="1:29" ht="57">
      <c r="A15" s="440" t="s">
        <v>2554</v>
      </c>
      <c r="B15" s="629" t="s">
        <v>2792</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45" t="s">
        <v>2555</v>
      </c>
      <c r="Q15" s="1810" t="str">
        <f t="shared" si="6"/>
        <v>产业集聚程度</v>
      </c>
      <c r="R15" s="774" t="s">
        <v>17</v>
      </c>
      <c r="S15" s="775">
        <f t="shared" si="0"/>
        <v>100</v>
      </c>
      <c r="T15" s="774" t="s">
        <v>17</v>
      </c>
      <c r="U15" s="775">
        <f t="shared" si="1"/>
        <v>100</v>
      </c>
      <c r="V15" s="774" t="s">
        <v>17</v>
      </c>
      <c r="W15" s="775">
        <f t="shared" si="2"/>
        <v>100</v>
      </c>
      <c r="X15" s="1813"/>
      <c r="Y15" s="3345" t="s">
        <v>2555</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346"/>
      <c r="Q16" s="1810"/>
      <c r="R16" s="774"/>
      <c r="S16" s="775"/>
      <c r="T16" s="774"/>
      <c r="U16" s="775"/>
      <c r="V16" s="774"/>
      <c r="W16" s="775"/>
      <c r="X16" s="1813"/>
      <c r="Y16" s="3346"/>
      <c r="Z16" s="1814"/>
      <c r="AA16" s="1811">
        <v>1</v>
      </c>
      <c r="AB16" s="1811">
        <v>1</v>
      </c>
      <c r="AC16" s="1811">
        <v>1</v>
      </c>
    </row>
    <row r="17" spans="1:29" ht="85.5">
      <c r="A17" s="428"/>
      <c r="B17" s="631" t="s">
        <v>2704</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46"/>
      <c r="Q17" s="1810" t="str">
        <f>B17</f>
        <v>交通便捷度</v>
      </c>
      <c r="R17" s="774" t="s">
        <v>17</v>
      </c>
      <c r="S17" s="775">
        <f>F17</f>
        <v>100</v>
      </c>
      <c r="T17" s="774" t="s">
        <v>17</v>
      </c>
      <c r="U17" s="775">
        <f>H17</f>
        <v>100</v>
      </c>
      <c r="V17" s="774" t="s">
        <v>17</v>
      </c>
      <c r="W17" s="775">
        <f>J17</f>
        <v>100</v>
      </c>
      <c r="X17" s="1813"/>
      <c r="Y17" s="3346"/>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346"/>
      <c r="Q18" s="1810"/>
      <c r="R18" s="774"/>
      <c r="S18" s="775"/>
      <c r="T18" s="774"/>
      <c r="U18" s="775"/>
      <c r="V18" s="774"/>
      <c r="W18" s="775"/>
      <c r="X18" s="1813"/>
      <c r="Y18" s="3346"/>
      <c r="Z18" s="1814"/>
      <c r="AA18" s="1811">
        <v>1</v>
      </c>
      <c r="AB18" s="1811">
        <v>1</v>
      </c>
      <c r="AC18" s="1811">
        <v>1</v>
      </c>
    </row>
    <row r="19" spans="1:29" ht="15">
      <c r="A19" s="428"/>
      <c r="B19" s="631" t="s">
        <v>2742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46"/>
      <c r="Q19" s="1810" t="str">
        <f t="shared" ref="Q19:Q33" si="8">B19</f>
        <v>区域土地利用方向</v>
      </c>
      <c r="R19" s="774" t="s">
        <v>17</v>
      </c>
      <c r="S19" s="775">
        <f>F19</f>
        <v>100</v>
      </c>
      <c r="T19" s="774" t="s">
        <v>17</v>
      </c>
      <c r="U19" s="775">
        <f>H19</f>
        <v>100</v>
      </c>
      <c r="V19" s="774" t="s">
        <v>17</v>
      </c>
      <c r="W19" s="775">
        <f>J19</f>
        <v>100</v>
      </c>
      <c r="X19" s="1813"/>
      <c r="Y19" s="3346"/>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09"/>
      <c r="L20" s="1140"/>
      <c r="M20" s="1131"/>
      <c r="N20" s="1131"/>
      <c r="O20" s="1139"/>
      <c r="P20" s="3346"/>
      <c r="Q20" s="1810"/>
      <c r="R20" s="774"/>
      <c r="S20" s="775"/>
      <c r="T20" s="774"/>
      <c r="U20" s="775"/>
      <c r="V20" s="774"/>
      <c r="W20" s="775"/>
      <c r="X20" s="1813"/>
      <c r="Y20" s="3346"/>
      <c r="Z20" s="1814"/>
      <c r="AA20" s="1811"/>
      <c r="AB20" s="1811"/>
      <c r="AC20" s="1811"/>
    </row>
    <row r="21" spans="1:29" ht="71.25">
      <c r="A21" s="404"/>
      <c r="B21" s="631" t="s">
        <v>2793</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46"/>
      <c r="Q21" s="1810" t="str">
        <f t="shared" si="8"/>
        <v>环境状况</v>
      </c>
      <c r="R21" s="774" t="s">
        <v>17</v>
      </c>
      <c r="S21" s="775">
        <f>F21</f>
        <v>100</v>
      </c>
      <c r="T21" s="774" t="s">
        <v>17</v>
      </c>
      <c r="U21" s="775">
        <f>H21</f>
        <v>100</v>
      </c>
      <c r="V21" s="774" t="s">
        <v>17</v>
      </c>
      <c r="W21" s="775">
        <f>J21</f>
        <v>100</v>
      </c>
      <c r="X21" s="1813"/>
      <c r="Y21" s="3346"/>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346"/>
      <c r="Q22" s="1810"/>
      <c r="R22" s="774"/>
      <c r="S22" s="775"/>
      <c r="T22" s="774"/>
      <c r="U22" s="775"/>
      <c r="V22" s="774"/>
      <c r="W22" s="775"/>
      <c r="X22" s="1813"/>
      <c r="Y22" s="3346"/>
      <c r="Z22" s="1814"/>
      <c r="AA22" s="1811">
        <v>1</v>
      </c>
      <c r="AB22" s="1811">
        <v>1</v>
      </c>
      <c r="AC22" s="1811">
        <v>1</v>
      </c>
    </row>
    <row r="23" spans="1:29" s="117" customFormat="1" ht="42.75">
      <c r="A23" s="649"/>
      <c r="B23" s="633" t="s">
        <v>2649</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46"/>
      <c r="Q23" s="1795" t="str">
        <f t="shared" si="8"/>
        <v>公共配套设施</v>
      </c>
      <c r="R23" s="770" t="s">
        <v>17</v>
      </c>
      <c r="S23" s="771">
        <f>F23</f>
        <v>100</v>
      </c>
      <c r="T23" s="770" t="s">
        <v>17</v>
      </c>
      <c r="U23" s="771">
        <f>H23</f>
        <v>100</v>
      </c>
      <c r="V23" s="770" t="s">
        <v>17</v>
      </c>
      <c r="W23" s="771">
        <f>J23</f>
        <v>100</v>
      </c>
      <c r="X23" s="772"/>
      <c r="Y23" s="3346"/>
      <c r="Z23" s="55" t="str">
        <f>Q23</f>
        <v>公共配套设施</v>
      </c>
      <c r="AA23" s="1811">
        <f>D23/F23</f>
        <v>1</v>
      </c>
      <c r="AB23" s="1811">
        <f>D23/H23</f>
        <v>1</v>
      </c>
      <c r="AC23" s="1811">
        <f>D23/J23</f>
        <v>1</v>
      </c>
    </row>
    <row r="24" spans="1:29" s="117" customFormat="1" ht="15">
      <c r="A24" s="649"/>
      <c r="B24" s="632"/>
      <c r="C24" s="2696"/>
      <c r="D24" s="448"/>
      <c r="E24" s="2608"/>
      <c r="F24" s="448"/>
      <c r="G24" s="2608"/>
      <c r="H24" s="448"/>
      <c r="I24" s="447"/>
      <c r="J24" s="448"/>
      <c r="K24" s="672"/>
      <c r="L24" s="1132"/>
      <c r="M24" s="1133"/>
      <c r="N24" s="1133"/>
      <c r="O24" s="1134"/>
      <c r="P24" s="3346"/>
      <c r="Q24" s="1795"/>
      <c r="R24" s="770"/>
      <c r="S24" s="771"/>
      <c r="T24" s="770"/>
      <c r="U24" s="771"/>
      <c r="V24" s="770"/>
      <c r="W24" s="771"/>
      <c r="X24" s="772"/>
      <c r="Y24" s="3346"/>
      <c r="Z24" s="55"/>
      <c r="AA24" s="773">
        <v>1</v>
      </c>
      <c r="AB24" s="773">
        <v>1</v>
      </c>
      <c r="AC24" s="773">
        <v>1</v>
      </c>
    </row>
    <row r="25" spans="1:29" s="117" customFormat="1" ht="28.5">
      <c r="A25" s="649"/>
      <c r="B25" s="633" t="s">
        <v>2650</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46"/>
      <c r="Q25" s="1795" t="str">
        <f t="shared" ref="Q25" si="9">B25</f>
        <v>基础设施水平</v>
      </c>
      <c r="R25" s="770" t="s">
        <v>17</v>
      </c>
      <c r="S25" s="771">
        <f>F25</f>
        <v>100</v>
      </c>
      <c r="T25" s="770" t="s">
        <v>17</v>
      </c>
      <c r="U25" s="771">
        <f>H25</f>
        <v>100</v>
      </c>
      <c r="V25" s="770" t="s">
        <v>17</v>
      </c>
      <c r="W25" s="771">
        <f>J25</f>
        <v>100</v>
      </c>
      <c r="X25" s="772"/>
      <c r="Y25" s="3346"/>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346"/>
      <c r="Q26" s="1795"/>
      <c r="R26" s="770"/>
      <c r="S26" s="771"/>
      <c r="T26" s="770"/>
      <c r="U26" s="771"/>
      <c r="V26" s="770"/>
      <c r="W26" s="771"/>
      <c r="X26" s="772"/>
      <c r="Y26" s="3346"/>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4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46"/>
      <c r="Z27" s="1814" t="str">
        <f t="shared" ref="Z27:Z40" si="13">Q27</f>
        <v>临街状况</v>
      </c>
      <c r="AA27" s="1811">
        <f t="shared" si="3"/>
        <v>1</v>
      </c>
      <c r="AB27" s="1811">
        <f t="shared" si="4"/>
        <v>1</v>
      </c>
      <c r="AC27" s="1811">
        <f t="shared" si="5"/>
        <v>1</v>
      </c>
    </row>
    <row r="28" spans="1:29" ht="27">
      <c r="A28" s="428"/>
      <c r="B28" s="633"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46"/>
      <c r="Q28" s="1810" t="str">
        <f t="shared" si="8"/>
        <v>毗邻道路的类型与等级</v>
      </c>
      <c r="R28" s="774" t="s">
        <v>17</v>
      </c>
      <c r="S28" s="775">
        <f t="shared" si="10"/>
        <v>100</v>
      </c>
      <c r="T28" s="774" t="s">
        <v>17</v>
      </c>
      <c r="U28" s="775">
        <f t="shared" si="11"/>
        <v>100</v>
      </c>
      <c r="V28" s="774" t="s">
        <v>17</v>
      </c>
      <c r="W28" s="775">
        <f t="shared" si="12"/>
        <v>100</v>
      </c>
      <c r="X28" s="1813"/>
      <c r="Y28" s="3346"/>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346"/>
      <c r="Q29" s="1810"/>
      <c r="R29" s="774"/>
      <c r="S29" s="775"/>
      <c r="T29" s="774"/>
      <c r="U29" s="775"/>
      <c r="V29" s="774"/>
      <c r="W29" s="775"/>
      <c r="X29" s="1813"/>
      <c r="Y29" s="3346"/>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46"/>
      <c r="Q30" s="1810" t="str">
        <f t="shared" si="8"/>
        <v>土地级别</v>
      </c>
      <c r="R30" s="774" t="s">
        <v>17</v>
      </c>
      <c r="S30" s="775">
        <f t="shared" si="10"/>
        <v>100</v>
      </c>
      <c r="T30" s="774" t="s">
        <v>17</v>
      </c>
      <c r="U30" s="775">
        <f t="shared" si="11"/>
        <v>100</v>
      </c>
      <c r="V30" s="774" t="s">
        <v>17</v>
      </c>
      <c r="W30" s="775">
        <f t="shared" si="12"/>
        <v>100</v>
      </c>
      <c r="X30" s="1813"/>
      <c r="Y30" s="3346"/>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46"/>
      <c r="Q31" s="1810">
        <f t="shared" si="8"/>
        <v>111</v>
      </c>
      <c r="R31" s="774" t="s">
        <v>17</v>
      </c>
      <c r="S31" s="775">
        <f t="shared" si="10"/>
        <v>100</v>
      </c>
      <c r="T31" s="774" t="s">
        <v>17</v>
      </c>
      <c r="U31" s="775">
        <f t="shared" si="11"/>
        <v>100</v>
      </c>
      <c r="V31" s="774" t="s">
        <v>17</v>
      </c>
      <c r="W31" s="775">
        <f t="shared" si="12"/>
        <v>100</v>
      </c>
      <c r="X31" s="1813"/>
      <c r="Y31" s="3346"/>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47" t="s">
        <v>2560</v>
      </c>
      <c r="Q32" s="1810">
        <f t="shared" si="8"/>
        <v>111</v>
      </c>
      <c r="R32" s="774" t="s">
        <v>17</v>
      </c>
      <c r="S32" s="775">
        <f t="shared" si="10"/>
        <v>100</v>
      </c>
      <c r="T32" s="774" t="s">
        <v>17</v>
      </c>
      <c r="U32" s="775">
        <f t="shared" si="11"/>
        <v>100</v>
      </c>
      <c r="V32" s="774" t="s">
        <v>17</v>
      </c>
      <c r="W32" s="775">
        <f t="shared" si="12"/>
        <v>100</v>
      </c>
      <c r="X32" s="1813"/>
      <c r="Y32" s="3348" t="s">
        <v>2560</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48"/>
      <c r="Q33" s="1810">
        <f t="shared" si="8"/>
        <v>111</v>
      </c>
      <c r="R33" s="777" t="s">
        <v>17</v>
      </c>
      <c r="S33" s="778">
        <f t="shared" si="10"/>
        <v>100</v>
      </c>
      <c r="T33" s="777" t="s">
        <v>17</v>
      </c>
      <c r="U33" s="778">
        <f t="shared" si="11"/>
        <v>100</v>
      </c>
      <c r="V33" s="777" t="s">
        <v>17</v>
      </c>
      <c r="W33" s="778">
        <f t="shared" si="12"/>
        <v>100</v>
      </c>
      <c r="X33" s="779"/>
      <c r="Y33" s="3348"/>
      <c r="Z33" s="780">
        <f t="shared" si="13"/>
        <v>111</v>
      </c>
      <c r="AA33" s="1811">
        <f t="shared" si="3"/>
        <v>1</v>
      </c>
      <c r="AB33" s="1811">
        <f t="shared" si="4"/>
        <v>1</v>
      </c>
      <c r="AC33" s="1811">
        <f t="shared" si="5"/>
        <v>1</v>
      </c>
    </row>
    <row r="34" spans="1:29" ht="15">
      <c r="A34" s="440" t="s">
        <v>2558</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48"/>
      <c r="Q34" s="1810" t="str">
        <f>B34</f>
        <v>宗地面积</v>
      </c>
      <c r="R34" s="774" t="s">
        <v>17</v>
      </c>
      <c r="S34" s="775" t="e">
        <f t="shared" si="10"/>
        <v>#N/A</v>
      </c>
      <c r="T34" s="774" t="s">
        <v>17</v>
      </c>
      <c r="U34" s="775" t="e">
        <f t="shared" si="11"/>
        <v>#N/A</v>
      </c>
      <c r="V34" s="774" t="s">
        <v>17</v>
      </c>
      <c r="W34" s="775" t="e">
        <f t="shared" si="12"/>
        <v>#N/A</v>
      </c>
      <c r="X34" s="1813"/>
      <c r="Y34" s="3348"/>
      <c r="Z34" s="1814" t="str">
        <f t="shared" si="13"/>
        <v>宗地面积</v>
      </c>
      <c r="AA34" s="1811" t="e">
        <f t="shared" si="3"/>
        <v>#N/A</v>
      </c>
      <c r="AB34" s="1811" t="e">
        <f t="shared" si="4"/>
        <v>#N/A</v>
      </c>
      <c r="AC34" s="1811" t="e">
        <f t="shared" si="5"/>
        <v>#N/A</v>
      </c>
    </row>
    <row r="35" spans="1:29" ht="15">
      <c r="A35" s="472"/>
      <c r="B35" s="422" t="s">
        <v>2746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348"/>
      <c r="Q35" s="1810" t="str">
        <f t="shared" ref="Q35:Q40" si="14">B35</f>
        <v>宗地形状</v>
      </c>
      <c r="R35" s="774" t="s">
        <v>17</v>
      </c>
      <c r="S35" s="775">
        <f t="shared" si="10"/>
        <v>100</v>
      </c>
      <c r="T35" s="774" t="s">
        <v>17</v>
      </c>
      <c r="U35" s="775">
        <f t="shared" si="11"/>
        <v>100</v>
      </c>
      <c r="V35" s="774" t="s">
        <v>17</v>
      </c>
      <c r="W35" s="775">
        <f t="shared" si="12"/>
        <v>100</v>
      </c>
      <c r="X35" s="1813"/>
      <c r="Y35" s="3348"/>
      <c r="Z35" s="1814" t="str">
        <f t="shared" si="13"/>
        <v>宗地形状</v>
      </c>
      <c r="AA35" s="1811">
        <f t="shared" si="3"/>
        <v>1</v>
      </c>
      <c r="AB35" s="1811">
        <f t="shared" si="4"/>
        <v>1</v>
      </c>
      <c r="AC35" s="1811">
        <f t="shared" si="5"/>
        <v>1</v>
      </c>
    </row>
    <row r="36" spans="1:29" s="117" customFormat="1" ht="15">
      <c r="A36" s="473"/>
      <c r="B36" s="422" t="s">
        <v>2748</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348"/>
      <c r="Q36" s="1810" t="str">
        <f t="shared" si="14"/>
        <v>宗地开发程度</v>
      </c>
      <c r="R36" s="770" t="s">
        <v>17</v>
      </c>
      <c r="S36" s="771">
        <f t="shared" si="10"/>
        <v>100</v>
      </c>
      <c r="T36" s="770" t="s">
        <v>17</v>
      </c>
      <c r="U36" s="771">
        <f t="shared" si="11"/>
        <v>100</v>
      </c>
      <c r="V36" s="770" t="s">
        <v>17</v>
      </c>
      <c r="W36" s="771">
        <f t="shared" si="12"/>
        <v>100</v>
      </c>
      <c r="X36" s="772"/>
      <c r="Y36" s="3348"/>
      <c r="Z36" s="55" t="str">
        <f t="shared" si="13"/>
        <v>宗地开发程度</v>
      </c>
      <c r="AA36" s="773">
        <f t="shared" si="3"/>
        <v>1</v>
      </c>
      <c r="AB36" s="773">
        <f t="shared" si="4"/>
        <v>1</v>
      </c>
      <c r="AC36" s="773">
        <f t="shared" si="5"/>
        <v>1</v>
      </c>
    </row>
    <row r="37" spans="1:29" ht="15">
      <c r="A37" s="472"/>
      <c r="B37" s="422" t="s">
        <v>2749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348" t="s">
        <v>2560</v>
      </c>
      <c r="Q37" s="1810" t="str">
        <f t="shared" si="14"/>
        <v>工程地质条件</v>
      </c>
      <c r="R37" s="774" t="s">
        <v>17</v>
      </c>
      <c r="S37" s="775">
        <f t="shared" si="10"/>
        <v>100</v>
      </c>
      <c r="T37" s="774" t="s">
        <v>17</v>
      </c>
      <c r="U37" s="775">
        <f t="shared" si="11"/>
        <v>100</v>
      </c>
      <c r="V37" s="774" t="s">
        <v>17</v>
      </c>
      <c r="W37" s="775">
        <f t="shared" si="12"/>
        <v>100</v>
      </c>
      <c r="X37" s="1813"/>
      <c r="Y37" s="3348"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48"/>
      <c r="Q38" s="1810">
        <f t="shared" si="14"/>
        <v>111</v>
      </c>
      <c r="R38" s="774" t="s">
        <v>17</v>
      </c>
      <c r="S38" s="775">
        <f t="shared" si="10"/>
        <v>100</v>
      </c>
      <c r="T38" s="774" t="s">
        <v>17</v>
      </c>
      <c r="U38" s="775">
        <f t="shared" si="11"/>
        <v>100</v>
      </c>
      <c r="V38" s="774" t="s">
        <v>17</v>
      </c>
      <c r="W38" s="775">
        <f t="shared" si="12"/>
        <v>100</v>
      </c>
      <c r="X38" s="1813"/>
      <c r="Y38" s="334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48"/>
      <c r="Q39" s="1810">
        <f t="shared" si="14"/>
        <v>111</v>
      </c>
      <c r="R39" s="774" t="s">
        <v>17</v>
      </c>
      <c r="S39" s="775">
        <f t="shared" si="10"/>
        <v>100</v>
      </c>
      <c r="T39" s="774" t="s">
        <v>17</v>
      </c>
      <c r="U39" s="775">
        <f t="shared" si="11"/>
        <v>100</v>
      </c>
      <c r="V39" s="774" t="s">
        <v>17</v>
      </c>
      <c r="W39" s="775">
        <f t="shared" si="12"/>
        <v>100</v>
      </c>
      <c r="X39" s="1813"/>
      <c r="Y39" s="3348"/>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48"/>
      <c r="Q40" s="1810">
        <f t="shared" si="14"/>
        <v>111</v>
      </c>
      <c r="R40" s="777" t="s">
        <v>17</v>
      </c>
      <c r="S40" s="778">
        <f t="shared" si="10"/>
        <v>100</v>
      </c>
      <c r="T40" s="777" t="s">
        <v>17</v>
      </c>
      <c r="U40" s="778">
        <f t="shared" si="11"/>
        <v>100</v>
      </c>
      <c r="V40" s="777" t="s">
        <v>17</v>
      </c>
      <c r="W40" s="778">
        <f t="shared" si="12"/>
        <v>100</v>
      </c>
      <c r="X40" s="779"/>
      <c r="Y40" s="3348"/>
      <c r="Z40" s="780">
        <f t="shared" si="13"/>
        <v>111</v>
      </c>
      <c r="AA40" s="1811">
        <f t="shared" si="3"/>
        <v>1</v>
      </c>
      <c r="AB40" s="1811">
        <f t="shared" si="4"/>
        <v>1</v>
      </c>
      <c r="AC40" s="1811">
        <f t="shared" si="5"/>
        <v>1</v>
      </c>
    </row>
    <row r="41" spans="1:29" ht="15">
      <c r="A41" s="479" t="s">
        <v>2715</v>
      </c>
      <c r="B41" s="2700" t="s">
        <v>2794</v>
      </c>
      <c r="C41" s="682" t="s">
        <v>1</v>
      </c>
      <c r="D41" s="481"/>
      <c r="E41" s="482"/>
      <c r="F41" s="483"/>
      <c r="G41" s="484"/>
      <c r="H41" s="485"/>
      <c r="I41" s="482"/>
      <c r="J41" s="485"/>
      <c r="K41" s="783"/>
      <c r="L41" s="1143"/>
      <c r="M41" s="1131"/>
      <c r="N41" s="1131"/>
      <c r="O41" s="1144"/>
      <c r="P41" s="3330" t="str">
        <f>A41</f>
        <v>成交单价</v>
      </c>
      <c r="Q41" s="3330"/>
      <c r="R41" s="3343">
        <f>E41</f>
        <v>0</v>
      </c>
      <c r="S41" s="3343"/>
      <c r="T41" s="3343">
        <f>G41</f>
        <v>0</v>
      </c>
      <c r="U41" s="3343"/>
      <c r="V41" s="3343">
        <f>I41</f>
        <v>0</v>
      </c>
      <c r="W41" s="334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330" t="str">
        <f>A42</f>
        <v>比较价值（元/平方米）</v>
      </c>
      <c r="Q42" s="3330"/>
      <c r="R42" s="3349" t="e">
        <f>ROUND(PRODUCT(R41,AA7:AA40),0)</f>
        <v>#DIV/0!</v>
      </c>
      <c r="S42" s="3349"/>
      <c r="T42" s="3349" t="e">
        <f>ROUND(PRODUCT(T41,AB7:AB40),0)</f>
        <v>#DIV/0!</v>
      </c>
      <c r="U42" s="3349"/>
      <c r="V42" s="3349" t="e">
        <f>ROUND(PRODUCT(V41,AC7:AC40),0)</f>
        <v>#DIV/0!</v>
      </c>
      <c r="W42" s="3349"/>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350" t="str">
        <f>A43</f>
        <v>估价对象XX用房的比较价值（楼面单价，元/平方米）</v>
      </c>
      <c r="Q43" s="3351"/>
      <c r="R43" s="3352" t="e">
        <f>ROUND(AVERAGE(R42:V42),0)</f>
        <v>#DIV/0!</v>
      </c>
      <c r="S43" s="3352"/>
      <c r="T43" s="3352"/>
      <c r="U43" s="3352"/>
      <c r="V43" s="3352"/>
      <c r="W43" s="335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1" t="s">
        <v>2754</v>
      </c>
      <c r="D50" s="2702" t="s">
        <v>2755</v>
      </c>
      <c r="E50" s="686" t="s">
        <v>2756</v>
      </c>
      <c r="F50" s="687" t="s">
        <v>2757</v>
      </c>
      <c r="G50" s="3331" t="s">
        <v>2758</v>
      </c>
      <c r="H50" s="3353"/>
      <c r="I50" s="1814" t="s">
        <v>2795</v>
      </c>
      <c r="J50" s="1814">
        <f>项目基本情况!F35</f>
        <v>0</v>
      </c>
      <c r="K50" s="2704" t="s">
        <v>2760</v>
      </c>
      <c r="L50" s="1106"/>
      <c r="M50" s="1144"/>
      <c r="N50" s="1144"/>
      <c r="O50" s="1144"/>
    </row>
    <row r="51" spans="1:17" s="692" customFormat="1">
      <c r="A51" s="688" t="s">
        <v>2761</v>
      </c>
      <c r="B51" s="689" t="e">
        <f>C43</f>
        <v>#DIV/0!</v>
      </c>
      <c r="C51" s="690">
        <v>1</v>
      </c>
      <c r="D51" s="1163">
        <v>1</v>
      </c>
      <c r="E51" s="690">
        <f>'数据-汇总表'!E8+'数据-汇总表'!E9</f>
        <v>51317.149999999921</v>
      </c>
      <c r="F51" s="691" t="e">
        <f t="shared" ref="F51:F60" si="15">ROUND(B51*E51/10000,0)</f>
        <v>#DIV/0!</v>
      </c>
      <c r="G51" s="3354"/>
      <c r="H51" s="3330"/>
      <c r="I51" s="942">
        <v>1</v>
      </c>
      <c r="J51" s="942">
        <v>1</v>
      </c>
      <c r="K51" s="1145"/>
      <c r="L51" s="941"/>
      <c r="M51" s="941"/>
      <c r="N51" s="941"/>
      <c r="O51" s="941"/>
    </row>
    <row r="52" spans="1:17" s="692" customFormat="1">
      <c r="A52" s="693" t="s">
        <v>2762</v>
      </c>
      <c r="B52" s="262" t="e">
        <f>ROUND($C$43*C52*D52,0)</f>
        <v>#DIV/0!</v>
      </c>
      <c r="C52" s="200">
        <f t="shared" ref="C52:C60" si="16">IF($C$50="北京市系数",I52,J52)</f>
        <v>0.7</v>
      </c>
      <c r="D52" s="1164">
        <v>0.25</v>
      </c>
      <c r="E52" s="694"/>
      <c r="F52" s="691" t="e">
        <f t="shared" si="15"/>
        <v>#DIV/0!</v>
      </c>
      <c r="G52" s="3355" t="s">
        <v>2763</v>
      </c>
      <c r="H52" s="1104" t="str">
        <f>项目基本情况!B37</f>
        <v>七级</v>
      </c>
      <c r="I52" s="942">
        <f>SUMIF(修正!A45:A56,H52,修正!B45:B56)</f>
        <v>0.7</v>
      </c>
      <c r="J52" s="943"/>
      <c r="K52" s="1144"/>
      <c r="L52" s="941"/>
      <c r="M52" s="941"/>
      <c r="N52" s="941"/>
      <c r="O52" s="941"/>
    </row>
    <row r="53" spans="1:17" s="692" customFormat="1">
      <c r="A53" s="693" t="s">
        <v>2764</v>
      </c>
      <c r="B53" s="262" t="e">
        <f t="shared" ref="B53:B60" si="17">ROUND($C$43*C53*D53,0)</f>
        <v>#DIV/0!</v>
      </c>
      <c r="C53" s="200">
        <f t="shared" si="16"/>
        <v>0.4</v>
      </c>
      <c r="D53" s="1164">
        <v>0.25</v>
      </c>
      <c r="E53" s="694"/>
      <c r="F53" s="691" t="e">
        <f t="shared" si="15"/>
        <v>#DIV/0!</v>
      </c>
      <c r="G53" s="3355"/>
      <c r="H53" s="1104" t="str">
        <f>项目基本情况!B37</f>
        <v>七级</v>
      </c>
      <c r="I53" s="942">
        <f>SUMIF(修正!A45:A56,H53,修正!C45:C56)</f>
        <v>0.4</v>
      </c>
      <c r="J53" s="943"/>
      <c r="K53" s="1145"/>
      <c r="L53" s="941"/>
      <c r="M53" s="941"/>
      <c r="N53" s="941"/>
      <c r="O53" s="941"/>
    </row>
    <row r="54" spans="1:17" s="692" customFormat="1">
      <c r="A54" s="693" t="s">
        <v>2765</v>
      </c>
      <c r="B54" s="262" t="e">
        <f t="shared" si="17"/>
        <v>#DIV/0!</v>
      </c>
      <c r="C54" s="200">
        <f t="shared" si="16"/>
        <v>0.28000000000000003</v>
      </c>
      <c r="D54" s="1164">
        <v>0.25</v>
      </c>
      <c r="E54" s="694"/>
      <c r="F54" s="691" t="e">
        <f t="shared" si="15"/>
        <v>#DIV/0!</v>
      </c>
      <c r="G54" s="3355"/>
      <c r="H54" s="1104" t="str">
        <f>项目基本情况!B37</f>
        <v>七级</v>
      </c>
      <c r="I54" s="942">
        <f>SUMIF(修正!A45:A56,H54,修正!D45:D56)</f>
        <v>0.28000000000000003</v>
      </c>
      <c r="J54" s="943"/>
      <c r="K54" s="1144"/>
      <c r="L54" s="941"/>
      <c r="M54" s="941"/>
      <c r="N54" s="941"/>
      <c r="O54" s="941"/>
    </row>
    <row r="55" spans="1:17" s="692" customFormat="1">
      <c r="A55" s="693" t="s">
        <v>2766</v>
      </c>
      <c r="B55" s="262" t="e">
        <f t="shared" si="17"/>
        <v>#DIV/0!</v>
      </c>
      <c r="C55" s="200">
        <f t="shared" si="16"/>
        <v>0.25</v>
      </c>
      <c r="D55" s="1164">
        <v>0.25</v>
      </c>
      <c r="E55" s="694"/>
      <c r="F55" s="691" t="e">
        <f t="shared" si="15"/>
        <v>#DIV/0!</v>
      </c>
      <c r="G55" s="3355"/>
      <c r="H55" s="1104" t="str">
        <f>项目基本情况!B37</f>
        <v>七级</v>
      </c>
      <c r="I55" s="942">
        <f>SUMIF(修正!A45:A56,H55,修正!E45:E56)</f>
        <v>0.25</v>
      </c>
      <c r="J55" s="943"/>
      <c r="K55" s="1145"/>
      <c r="L55" s="941"/>
      <c r="M55" s="941"/>
      <c r="N55" s="941"/>
      <c r="O55" s="941"/>
    </row>
    <row r="56" spans="1:17" s="692" customFormat="1">
      <c r="A56" s="693" t="s">
        <v>2767</v>
      </c>
      <c r="B56" s="262" t="e">
        <f t="shared" si="17"/>
        <v>#DIV/0!</v>
      </c>
      <c r="C56" s="200">
        <f t="shared" si="16"/>
        <v>0.25</v>
      </c>
      <c r="D56" s="1164">
        <v>0.25</v>
      </c>
      <c r="E56" s="261">
        <f>'数据-汇总表'!E11</f>
        <v>0</v>
      </c>
      <c r="F56" s="691" t="e">
        <f t="shared" si="15"/>
        <v>#DIV/0!</v>
      </c>
      <c r="G56" s="2705" t="s">
        <v>2768</v>
      </c>
      <c r="H56" s="1104" t="str">
        <f>项目基本情况!C37</f>
        <v>七级</v>
      </c>
      <c r="I56" s="942">
        <f>SUMIF(修正!A45:A56,H56,修正!F45:F56)</f>
        <v>0.25</v>
      </c>
      <c r="J56" s="943"/>
      <c r="K56" s="1144"/>
      <c r="L56" s="941"/>
      <c r="M56" s="941"/>
      <c r="N56" s="941"/>
      <c r="O56" s="941"/>
    </row>
    <row r="57" spans="1:17" s="692" customFormat="1">
      <c r="A57" s="693" t="s">
        <v>2769</v>
      </c>
      <c r="B57" s="262" t="e">
        <f t="shared" si="17"/>
        <v>#DIV/0!</v>
      </c>
      <c r="C57" s="200">
        <f t="shared" si="16"/>
        <v>0.25</v>
      </c>
      <c r="D57" s="1164">
        <v>0.25</v>
      </c>
      <c r="E57" s="261">
        <f>'数据-汇总表'!E12</f>
        <v>37199.47</v>
      </c>
      <c r="F57" s="691" t="e">
        <f t="shared" si="15"/>
        <v>#DIV/0!</v>
      </c>
      <c r="G57" s="1109" t="s">
        <v>2770</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2771</v>
      </c>
      <c r="B58" s="262" t="e">
        <f t="shared" si="17"/>
        <v>#DIV/0!</v>
      </c>
      <c r="C58" s="200">
        <f t="shared" si="16"/>
        <v>0.2</v>
      </c>
      <c r="D58" s="1164">
        <v>0.25</v>
      </c>
      <c r="E58" s="261">
        <f>'数据-汇总表'!E13</f>
        <v>25201.510000000002</v>
      </c>
      <c r="F58" s="691" t="e">
        <f t="shared" si="15"/>
        <v>#DIV/0!</v>
      </c>
      <c r="G58" s="1109" t="s">
        <v>2772</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2773</v>
      </c>
      <c r="B59" s="262" t="e">
        <f t="shared" si="17"/>
        <v>#DIV/0!</v>
      </c>
      <c r="C59" s="200">
        <f t="shared" si="16"/>
        <v>0.2</v>
      </c>
      <c r="D59" s="1164">
        <v>0.25</v>
      </c>
      <c r="E59" s="261">
        <f>'数据-汇总表'!E14</f>
        <v>0</v>
      </c>
      <c r="F59" s="691" t="e">
        <f t="shared" si="15"/>
        <v>#DIV/0!</v>
      </c>
      <c r="G59" s="2705" t="s">
        <v>2763</v>
      </c>
      <c r="H59" s="1104" t="str">
        <f>项目基本情况!B37</f>
        <v>七级</v>
      </c>
      <c r="I59" s="942">
        <f>SUMIF(修正!A45:A56,H59,修正!H45:H56)</f>
        <v>0.2</v>
      </c>
      <c r="J59" s="943"/>
      <c r="K59" s="1145"/>
      <c r="L59" s="941"/>
      <c r="M59" s="941"/>
      <c r="N59" s="941"/>
      <c r="O59" s="941"/>
    </row>
    <row r="60" spans="1:17" s="692" customFormat="1" ht="15" thickBot="1">
      <c r="A60" s="693" t="s">
        <v>2774</v>
      </c>
      <c r="B60" s="262" t="e">
        <f t="shared" si="17"/>
        <v>#DIV/0!</v>
      </c>
      <c r="C60" s="200">
        <f t="shared" si="16"/>
        <v>0.2</v>
      </c>
      <c r="D60" s="1164">
        <v>0.25</v>
      </c>
      <c r="E60" s="261">
        <f>'数据-汇总表'!E15</f>
        <v>0</v>
      </c>
      <c r="F60" s="691" t="e">
        <f t="shared" si="15"/>
        <v>#DIV/0!</v>
      </c>
      <c r="G60" s="2706" t="s">
        <v>2768</v>
      </c>
      <c r="H60" s="1114" t="str">
        <f>项目基本情况!C37</f>
        <v>七级</v>
      </c>
      <c r="I60" s="942">
        <f>SUMIF(修正!A45:A56,H60,修正!H45:H56)</f>
        <v>0.2</v>
      </c>
      <c r="J60" s="943"/>
      <c r="K60" s="1144"/>
      <c r="L60" s="941"/>
      <c r="M60" s="941"/>
      <c r="N60" s="941"/>
      <c r="O60" s="941"/>
    </row>
    <row r="61" spans="1:17" s="692" customFormat="1" ht="15" thickBot="1">
      <c r="A61" s="695" t="s">
        <v>2775</v>
      </c>
      <c r="B61" s="696" t="s">
        <v>28</v>
      </c>
      <c r="C61" s="696" t="s">
        <v>29</v>
      </c>
      <c r="D61" s="696" t="s">
        <v>1029</v>
      </c>
      <c r="E61" s="696">
        <f>IF(B41="楼面地价",SUM(E51:E60),'数据-汇总表'!D3)</f>
        <v>31136.97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7" t="s">
        <v>2776</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2" t="s">
        <v>2796</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46" t="s">
        <v>183</v>
      </c>
      <c r="B18" s="879" t="s">
        <v>560</v>
      </c>
      <c r="C18" s="880" t="s">
        <v>561</v>
      </c>
      <c r="D18" s="881"/>
      <c r="E18" s="879">
        <v>1</v>
      </c>
      <c r="F18" s="882" t="s">
        <v>562</v>
      </c>
      <c r="G18" s="883"/>
      <c r="H18" s="875"/>
      <c r="I18" s="875"/>
    </row>
    <row r="19" spans="1:9" s="884" customFormat="1" ht="19.5" customHeight="1">
      <c r="A19" s="3446"/>
      <c r="B19" s="3446" t="s">
        <v>563</v>
      </c>
      <c r="C19" s="880" t="s">
        <v>564</v>
      </c>
      <c r="D19" s="881"/>
      <c r="E19" s="879">
        <v>0.9</v>
      </c>
      <c r="F19" s="882" t="s">
        <v>565</v>
      </c>
      <c r="G19" s="883"/>
      <c r="H19" s="875"/>
      <c r="I19" s="875"/>
    </row>
    <row r="20" spans="1:9" s="884" customFormat="1" ht="19.5" customHeight="1">
      <c r="A20" s="3446"/>
      <c r="B20" s="3446"/>
      <c r="C20" s="880" t="s">
        <v>566</v>
      </c>
      <c r="D20" s="881"/>
      <c r="E20" s="879">
        <v>1.1000000000000001</v>
      </c>
      <c r="F20" s="882" t="s">
        <v>567</v>
      </c>
      <c r="G20" s="883"/>
      <c r="H20" s="875"/>
      <c r="I20" s="875"/>
    </row>
    <row r="21" spans="1:9" s="884" customFormat="1" ht="19.5" customHeight="1">
      <c r="A21" s="3446"/>
      <c r="B21" s="3446"/>
      <c r="C21" s="880" t="s">
        <v>568</v>
      </c>
      <c r="D21" s="881"/>
      <c r="E21" s="879">
        <v>0.8</v>
      </c>
      <c r="F21" s="882" t="s">
        <v>569</v>
      </c>
      <c r="G21" s="883"/>
      <c r="H21" s="875"/>
      <c r="I21" s="875"/>
    </row>
    <row r="22" spans="1:9" s="884" customFormat="1" ht="19.5" customHeight="1">
      <c r="A22" s="3446"/>
      <c r="B22" s="3446"/>
      <c r="C22" s="880" t="s">
        <v>570</v>
      </c>
      <c r="D22" s="881"/>
      <c r="E22" s="879">
        <v>0.5</v>
      </c>
      <c r="F22" s="882"/>
      <c r="G22" s="883"/>
      <c r="H22" s="875"/>
      <c r="I22" s="875"/>
    </row>
    <row r="23" spans="1:9" s="884" customFormat="1" ht="19.5" customHeight="1">
      <c r="A23" s="3446" t="s">
        <v>184</v>
      </c>
      <c r="B23" s="879" t="s">
        <v>560</v>
      </c>
      <c r="C23" s="880" t="s">
        <v>571</v>
      </c>
      <c r="D23" s="881"/>
      <c r="E23" s="879">
        <v>1</v>
      </c>
      <c r="F23" s="882" t="s">
        <v>572</v>
      </c>
      <c r="G23" s="883"/>
      <c r="H23" s="875"/>
      <c r="I23" s="875"/>
    </row>
    <row r="24" spans="1:9" s="884" customFormat="1" ht="19.5" customHeight="1">
      <c r="A24" s="3446"/>
      <c r="B24" s="3446" t="s">
        <v>563</v>
      </c>
      <c r="C24" s="880" t="s">
        <v>573</v>
      </c>
      <c r="D24" s="881"/>
      <c r="E24" s="879">
        <v>0.5</v>
      </c>
      <c r="F24" s="882"/>
      <c r="G24" s="883"/>
      <c r="H24" s="875"/>
      <c r="I24" s="875"/>
    </row>
    <row r="25" spans="1:9" s="884" customFormat="1" ht="19.5" customHeight="1">
      <c r="A25" s="3446"/>
      <c r="B25" s="3446"/>
      <c r="C25" s="880" t="s">
        <v>574</v>
      </c>
      <c r="D25" s="881"/>
      <c r="E25" s="879">
        <v>1.1000000000000001</v>
      </c>
      <c r="F25" s="882"/>
      <c r="G25" s="883"/>
      <c r="H25" s="875"/>
      <c r="I25" s="875"/>
    </row>
    <row r="26" spans="1:9" s="884" customFormat="1" ht="19.5" customHeight="1">
      <c r="A26" s="3446"/>
      <c r="B26" s="3446"/>
      <c r="C26" s="880" t="s">
        <v>575</v>
      </c>
      <c r="D26" s="881"/>
      <c r="E26" s="879">
        <v>1.1000000000000001</v>
      </c>
      <c r="F26" s="882"/>
      <c r="G26" s="883"/>
      <c r="H26" s="875"/>
      <c r="I26" s="875"/>
    </row>
    <row r="27" spans="1:9" s="884" customFormat="1" ht="19.5" customHeight="1">
      <c r="A27" s="3446"/>
      <c r="B27" s="3446"/>
      <c r="C27" s="880" t="s">
        <v>576</v>
      </c>
      <c r="D27" s="881"/>
      <c r="E27" s="879">
        <v>0.9</v>
      </c>
      <c r="F27" s="882" t="s">
        <v>577</v>
      </c>
      <c r="G27" s="883"/>
      <c r="H27" s="875"/>
      <c r="I27" s="875"/>
    </row>
    <row r="28" spans="1:9" s="884" customFormat="1" ht="19.5" customHeight="1">
      <c r="A28" s="3446"/>
      <c r="B28" s="3446"/>
      <c r="C28" s="880" t="s">
        <v>578</v>
      </c>
      <c r="D28" s="881"/>
      <c r="E28" s="879">
        <v>0.9</v>
      </c>
      <c r="F28" s="882" t="s">
        <v>579</v>
      </c>
      <c r="G28" s="883"/>
      <c r="H28" s="875"/>
      <c r="I28" s="875"/>
    </row>
    <row r="29" spans="1:9" s="884" customFormat="1" ht="19.5" customHeight="1">
      <c r="A29" s="3446"/>
      <c r="B29" s="3446"/>
      <c r="C29" s="880" t="s">
        <v>580</v>
      </c>
      <c r="D29" s="881"/>
      <c r="E29" s="879">
        <v>0.9</v>
      </c>
      <c r="F29" s="882" t="s">
        <v>581</v>
      </c>
      <c r="G29" s="883"/>
      <c r="H29" s="875"/>
      <c r="I29" s="875"/>
    </row>
    <row r="30" spans="1:9" s="884" customFormat="1" ht="19.5" customHeight="1">
      <c r="A30" s="3446"/>
      <c r="B30" s="3446"/>
      <c r="C30" s="880" t="s">
        <v>582</v>
      </c>
      <c r="D30" s="881"/>
      <c r="E30" s="879">
        <v>0.9</v>
      </c>
      <c r="F30" s="882" t="s">
        <v>583</v>
      </c>
      <c r="G30" s="883"/>
      <c r="H30" s="875"/>
      <c r="I30" s="875"/>
    </row>
    <row r="31" spans="1:9" s="884" customFormat="1" ht="19.5" customHeight="1">
      <c r="A31" s="3446"/>
      <c r="B31" s="3446"/>
      <c r="C31" s="880" t="s">
        <v>584</v>
      </c>
      <c r="D31" s="881"/>
      <c r="E31" s="879">
        <v>0.8</v>
      </c>
      <c r="F31" s="882" t="s">
        <v>585</v>
      </c>
      <c r="G31" s="883"/>
      <c r="H31" s="875"/>
      <c r="I31" s="875"/>
    </row>
    <row r="32" spans="1:9" s="884" customFormat="1" ht="19.5" customHeight="1">
      <c r="A32" s="3446"/>
      <c r="B32" s="3446"/>
      <c r="C32" s="880" t="s">
        <v>586</v>
      </c>
      <c r="D32" s="881"/>
      <c r="E32" s="879">
        <v>0.8</v>
      </c>
      <c r="F32" s="882" t="s">
        <v>587</v>
      </c>
      <c r="G32" s="883"/>
      <c r="H32" s="875"/>
      <c r="I32" s="875"/>
    </row>
    <row r="33" spans="1:9" s="884" customFormat="1" ht="19.5" customHeight="1">
      <c r="A33" s="3446" t="s">
        <v>185</v>
      </c>
      <c r="B33" s="879" t="s">
        <v>560</v>
      </c>
      <c r="C33" s="880" t="s">
        <v>588</v>
      </c>
      <c r="D33" s="881"/>
      <c r="E33" s="879">
        <v>1</v>
      </c>
      <c r="F33" s="882" t="s">
        <v>589</v>
      </c>
      <c r="G33" s="883"/>
      <c r="H33" s="875"/>
      <c r="I33" s="875"/>
    </row>
    <row r="34" spans="1:9" s="884" customFormat="1" ht="19.5" customHeight="1">
      <c r="A34" s="3446"/>
      <c r="B34" s="879" t="s">
        <v>563</v>
      </c>
      <c r="C34" s="880" t="s">
        <v>590</v>
      </c>
      <c r="D34" s="881"/>
      <c r="E34" s="879">
        <v>1.5</v>
      </c>
      <c r="F34" s="882" t="s">
        <v>591</v>
      </c>
      <c r="G34" s="883"/>
      <c r="H34" s="875"/>
      <c r="I34" s="875"/>
    </row>
    <row r="35" spans="1:9" s="884" customFormat="1" ht="19.5" customHeight="1">
      <c r="A35" s="3446" t="s">
        <v>186</v>
      </c>
      <c r="B35" s="879" t="s">
        <v>560</v>
      </c>
      <c r="C35" s="880" t="s">
        <v>592</v>
      </c>
      <c r="D35" s="881"/>
      <c r="E35" s="879">
        <v>1</v>
      </c>
      <c r="F35" s="882" t="s">
        <v>593</v>
      </c>
      <c r="G35" s="883"/>
      <c r="H35" s="875"/>
      <c r="I35" s="875"/>
    </row>
    <row r="36" spans="1:9" s="884" customFormat="1" ht="19.5" customHeight="1">
      <c r="A36" s="3446"/>
      <c r="B36" s="3446" t="s">
        <v>563</v>
      </c>
      <c r="C36" s="880" t="s">
        <v>594</v>
      </c>
      <c r="D36" s="881"/>
      <c r="E36" s="879">
        <v>1</v>
      </c>
      <c r="F36" s="882" t="s">
        <v>595</v>
      </c>
      <c r="G36" s="883"/>
      <c r="H36" s="875"/>
      <c r="I36" s="875"/>
    </row>
    <row r="37" spans="1:9" s="884" customFormat="1" ht="19.5" customHeight="1">
      <c r="A37" s="3446"/>
      <c r="B37" s="3446"/>
      <c r="C37" s="880" t="s">
        <v>596</v>
      </c>
      <c r="D37" s="881"/>
      <c r="E37" s="879">
        <v>1.5</v>
      </c>
      <c r="F37" s="882" t="s">
        <v>597</v>
      </c>
      <c r="G37" s="883"/>
      <c r="H37" s="875"/>
      <c r="I37" s="875"/>
    </row>
    <row r="38" spans="1:9" s="884" customFormat="1" ht="19.5" customHeight="1">
      <c r="A38" s="3446"/>
      <c r="B38" s="3446"/>
      <c r="C38" s="880" t="s">
        <v>598</v>
      </c>
      <c r="D38" s="881"/>
      <c r="E38" s="879">
        <v>1</v>
      </c>
      <c r="F38" s="882" t="s">
        <v>599</v>
      </c>
      <c r="G38" s="883"/>
      <c r="H38" s="875"/>
      <c r="I38" s="875"/>
    </row>
    <row r="39" spans="1:9" s="884" customFormat="1" ht="19.5" customHeight="1">
      <c r="A39" s="3446"/>
      <c r="B39" s="344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46" t="s">
        <v>614</v>
      </c>
      <c r="C61" s="815" t="s">
        <v>615</v>
      </c>
      <c r="D61" s="815" t="s">
        <v>616</v>
      </c>
      <c r="E61" s="892">
        <v>0.5</v>
      </c>
      <c r="F61" s="879">
        <v>80</v>
      </c>
    </row>
    <row r="62" spans="1:8" s="875" customFormat="1" ht="24">
      <c r="A62" s="879">
        <v>2</v>
      </c>
      <c r="B62" s="3446"/>
      <c r="C62" s="815" t="s">
        <v>617</v>
      </c>
      <c r="D62" s="815" t="s">
        <v>618</v>
      </c>
      <c r="E62" s="892">
        <v>0.5</v>
      </c>
      <c r="F62" s="879">
        <v>80</v>
      </c>
    </row>
    <row r="63" spans="1:8" s="875" customFormat="1" ht="36">
      <c r="A63" s="879">
        <v>3</v>
      </c>
      <c r="B63" s="3446"/>
      <c r="C63" s="815" t="s">
        <v>619</v>
      </c>
      <c r="D63" s="815" t="s">
        <v>620</v>
      </c>
      <c r="E63" s="892">
        <v>0.5</v>
      </c>
      <c r="F63" s="879">
        <v>80</v>
      </c>
    </row>
    <row r="64" spans="1:8" s="875" customFormat="1" ht="36">
      <c r="A64" s="879">
        <v>4</v>
      </c>
      <c r="B64" s="3446"/>
      <c r="C64" s="815" t="s">
        <v>621</v>
      </c>
      <c r="D64" s="815" t="s">
        <v>622</v>
      </c>
      <c r="E64" s="892">
        <v>0.4</v>
      </c>
      <c r="F64" s="879">
        <v>60</v>
      </c>
    </row>
    <row r="65" spans="1:6" s="875" customFormat="1" ht="36">
      <c r="A65" s="879">
        <v>5</v>
      </c>
      <c r="B65" s="3446"/>
      <c r="C65" s="815" t="s">
        <v>623</v>
      </c>
      <c r="D65" s="815" t="s">
        <v>624</v>
      </c>
      <c r="E65" s="892">
        <v>0.2</v>
      </c>
      <c r="F65" s="879">
        <v>30</v>
      </c>
    </row>
    <row r="66" spans="1:6" s="875" customFormat="1" ht="36">
      <c r="A66" s="879">
        <v>6</v>
      </c>
      <c r="B66" s="3446"/>
      <c r="C66" s="815" t="s">
        <v>625</v>
      </c>
      <c r="D66" s="815" t="s">
        <v>626</v>
      </c>
      <c r="E66" s="892">
        <v>0.3</v>
      </c>
      <c r="F66" s="879">
        <v>50</v>
      </c>
    </row>
    <row r="67" spans="1:6" s="875" customFormat="1" ht="36">
      <c r="A67" s="879">
        <v>7</v>
      </c>
      <c r="B67" s="3446"/>
      <c r="C67" s="815" t="s">
        <v>627</v>
      </c>
      <c r="D67" s="815" t="s">
        <v>628</v>
      </c>
      <c r="E67" s="892">
        <v>0.2</v>
      </c>
      <c r="F67" s="879">
        <v>30</v>
      </c>
    </row>
    <row r="68" spans="1:6" s="875" customFormat="1" ht="36">
      <c r="A68" s="879">
        <v>8</v>
      </c>
      <c r="B68" s="3446"/>
      <c r="C68" s="815" t="s">
        <v>629</v>
      </c>
      <c r="D68" s="815" t="s">
        <v>630</v>
      </c>
      <c r="E68" s="892">
        <v>0.2</v>
      </c>
      <c r="F68" s="879">
        <v>30</v>
      </c>
    </row>
    <row r="69" spans="1:6" s="875" customFormat="1" ht="36">
      <c r="A69" s="879">
        <v>9</v>
      </c>
      <c r="B69" s="3446"/>
      <c r="C69" s="815" t="s">
        <v>631</v>
      </c>
      <c r="D69" s="815" t="s">
        <v>632</v>
      </c>
      <c r="E69" s="892">
        <v>0.2</v>
      </c>
      <c r="F69" s="879">
        <v>30</v>
      </c>
    </row>
    <row r="70" spans="1:6" s="875" customFormat="1" ht="48">
      <c r="A70" s="879">
        <v>10</v>
      </c>
      <c r="B70" s="3446"/>
      <c r="C70" s="815" t="s">
        <v>633</v>
      </c>
      <c r="D70" s="815" t="s">
        <v>634</v>
      </c>
      <c r="E70" s="892">
        <v>0.2</v>
      </c>
      <c r="F70" s="879">
        <v>30</v>
      </c>
    </row>
    <row r="71" spans="1:6" s="875" customFormat="1" ht="48">
      <c r="A71" s="879">
        <v>11</v>
      </c>
      <c r="B71" s="3446"/>
      <c r="C71" s="815" t="s">
        <v>635</v>
      </c>
      <c r="D71" s="815" t="s">
        <v>636</v>
      </c>
      <c r="E71" s="892">
        <v>0.2</v>
      </c>
      <c r="F71" s="879">
        <v>30</v>
      </c>
    </row>
    <row r="72" spans="1:6" s="875" customFormat="1" ht="36">
      <c r="A72" s="879">
        <v>12</v>
      </c>
      <c r="B72" s="3446"/>
      <c r="C72" s="815" t="s">
        <v>637</v>
      </c>
      <c r="D72" s="815" t="s">
        <v>638</v>
      </c>
      <c r="E72" s="892">
        <v>0.5</v>
      </c>
      <c r="F72" s="879">
        <v>80</v>
      </c>
    </row>
    <row r="73" spans="1:6" s="875" customFormat="1" ht="24">
      <c r="A73" s="879">
        <v>13</v>
      </c>
      <c r="B73" s="3446"/>
      <c r="C73" s="815" t="s">
        <v>639</v>
      </c>
      <c r="D73" s="815" t="s">
        <v>640</v>
      </c>
      <c r="E73" s="892">
        <v>0.4</v>
      </c>
      <c r="F73" s="879">
        <v>60</v>
      </c>
    </row>
    <row r="74" spans="1:6" s="875" customFormat="1" ht="24">
      <c r="A74" s="879">
        <v>14</v>
      </c>
      <c r="B74" s="3446"/>
      <c r="C74" s="815" t="s">
        <v>641</v>
      </c>
      <c r="D74" s="815" t="s">
        <v>642</v>
      </c>
      <c r="E74" s="892">
        <v>0.2</v>
      </c>
      <c r="F74" s="879">
        <v>30</v>
      </c>
    </row>
    <row r="75" spans="1:6" s="875" customFormat="1" ht="24">
      <c r="A75" s="879">
        <v>15</v>
      </c>
      <c r="B75" s="3446"/>
      <c r="C75" s="815" t="s">
        <v>643</v>
      </c>
      <c r="D75" s="815" t="s">
        <v>644</v>
      </c>
      <c r="E75" s="892">
        <v>0.2</v>
      </c>
      <c r="F75" s="879">
        <v>30</v>
      </c>
    </row>
    <row r="76" spans="1:6" s="875" customFormat="1" ht="24">
      <c r="A76" s="879">
        <v>16</v>
      </c>
      <c r="B76" s="3446" t="s">
        <v>645</v>
      </c>
      <c r="C76" s="815" t="s">
        <v>646</v>
      </c>
      <c r="D76" s="815" t="s">
        <v>647</v>
      </c>
      <c r="E76" s="892">
        <v>0.5</v>
      </c>
      <c r="F76" s="879">
        <v>80</v>
      </c>
    </row>
    <row r="77" spans="1:6" s="875" customFormat="1" ht="24">
      <c r="A77" s="879">
        <v>17</v>
      </c>
      <c r="B77" s="3446"/>
      <c r="C77" s="815" t="s">
        <v>648</v>
      </c>
      <c r="D77" s="815" t="s">
        <v>649</v>
      </c>
      <c r="E77" s="892">
        <v>0.5</v>
      </c>
      <c r="F77" s="879">
        <v>80</v>
      </c>
    </row>
    <row r="78" spans="1:6" s="875" customFormat="1" ht="24">
      <c r="A78" s="879">
        <v>18</v>
      </c>
      <c r="B78" s="3446"/>
      <c r="C78" s="815" t="s">
        <v>650</v>
      </c>
      <c r="D78" s="815" t="s">
        <v>651</v>
      </c>
      <c r="E78" s="892">
        <v>0.2</v>
      </c>
      <c r="F78" s="879">
        <v>30</v>
      </c>
    </row>
    <row r="79" spans="1:6" s="875" customFormat="1" ht="24">
      <c r="A79" s="879">
        <v>19</v>
      </c>
      <c r="B79" s="3446"/>
      <c r="C79" s="815" t="s">
        <v>652</v>
      </c>
      <c r="D79" s="815" t="s">
        <v>653</v>
      </c>
      <c r="E79" s="892">
        <v>0.5</v>
      </c>
      <c r="F79" s="879">
        <v>80</v>
      </c>
    </row>
    <row r="80" spans="1:6" s="875" customFormat="1" ht="36">
      <c r="A80" s="879">
        <v>20</v>
      </c>
      <c r="B80" s="3446"/>
      <c r="C80" s="815" t="s">
        <v>654</v>
      </c>
      <c r="D80" s="815" t="s">
        <v>655</v>
      </c>
      <c r="E80" s="892">
        <v>0.2</v>
      </c>
      <c r="F80" s="879">
        <v>30</v>
      </c>
    </row>
    <row r="81" spans="1:6" s="875" customFormat="1" ht="36">
      <c r="A81" s="879">
        <v>21</v>
      </c>
      <c r="B81" s="3446"/>
      <c r="C81" s="815" t="s">
        <v>656</v>
      </c>
      <c r="D81" s="815" t="s">
        <v>657</v>
      </c>
      <c r="E81" s="892">
        <v>0.2</v>
      </c>
      <c r="F81" s="879">
        <v>30</v>
      </c>
    </row>
    <row r="82" spans="1:6" s="875" customFormat="1" ht="48">
      <c r="A82" s="879">
        <v>22</v>
      </c>
      <c r="B82" s="3446"/>
      <c r="C82" s="815" t="s">
        <v>658</v>
      </c>
      <c r="D82" s="815" t="s">
        <v>659</v>
      </c>
      <c r="E82" s="892">
        <v>0.2</v>
      </c>
      <c r="F82" s="879">
        <v>30</v>
      </c>
    </row>
    <row r="83" spans="1:6" s="875" customFormat="1" ht="48">
      <c r="A83" s="879">
        <v>23</v>
      </c>
      <c r="B83" s="3446"/>
      <c r="C83" s="815" t="s">
        <v>660</v>
      </c>
      <c r="D83" s="815" t="s">
        <v>661</v>
      </c>
      <c r="E83" s="892">
        <v>0.2</v>
      </c>
      <c r="F83" s="879">
        <v>30</v>
      </c>
    </row>
    <row r="84" spans="1:6" s="875" customFormat="1" ht="36">
      <c r="A84" s="879">
        <v>24</v>
      </c>
      <c r="B84" s="3446"/>
      <c r="C84" s="815" t="s">
        <v>662</v>
      </c>
      <c r="D84" s="815" t="s">
        <v>663</v>
      </c>
      <c r="E84" s="892">
        <v>0.2</v>
      </c>
      <c r="F84" s="879">
        <v>30</v>
      </c>
    </row>
    <row r="85" spans="1:6" s="875" customFormat="1" ht="36">
      <c r="A85" s="879">
        <v>25</v>
      </c>
      <c r="B85" s="3446"/>
      <c r="C85" s="815" t="s">
        <v>664</v>
      </c>
      <c r="D85" s="815" t="s">
        <v>665</v>
      </c>
      <c r="E85" s="892">
        <v>0.5</v>
      </c>
      <c r="F85" s="879">
        <v>80</v>
      </c>
    </row>
    <row r="86" spans="1:6" s="875" customFormat="1" ht="36">
      <c r="A86" s="879">
        <v>26</v>
      </c>
      <c r="B86" s="3446"/>
      <c r="C86" s="815" t="s">
        <v>666</v>
      </c>
      <c r="D86" s="815" t="s">
        <v>667</v>
      </c>
      <c r="E86" s="892">
        <v>0.2</v>
      </c>
      <c r="F86" s="879">
        <v>30</v>
      </c>
    </row>
    <row r="87" spans="1:6" s="875" customFormat="1" ht="36">
      <c r="A87" s="879">
        <v>27</v>
      </c>
      <c r="B87" s="3446"/>
      <c r="C87" s="815" t="s">
        <v>668</v>
      </c>
      <c r="D87" s="815" t="s">
        <v>669</v>
      </c>
      <c r="E87" s="892">
        <v>0.2</v>
      </c>
      <c r="F87" s="879">
        <v>30</v>
      </c>
    </row>
    <row r="88" spans="1:6" s="875" customFormat="1" ht="36">
      <c r="A88" s="879">
        <v>28</v>
      </c>
      <c r="B88" s="3446"/>
      <c r="C88" s="815" t="s">
        <v>670</v>
      </c>
      <c r="D88" s="815" t="s">
        <v>671</v>
      </c>
      <c r="E88" s="892">
        <v>0.2</v>
      </c>
      <c r="F88" s="879">
        <v>30</v>
      </c>
    </row>
    <row r="89" spans="1:6" s="875" customFormat="1" ht="24">
      <c r="A89" s="879">
        <v>29</v>
      </c>
      <c r="B89" s="3446"/>
      <c r="C89" s="815" t="s">
        <v>672</v>
      </c>
      <c r="D89" s="815" t="s">
        <v>673</v>
      </c>
      <c r="E89" s="892">
        <v>0.2</v>
      </c>
      <c r="F89" s="879">
        <v>30</v>
      </c>
    </row>
    <row r="90" spans="1:6" s="875" customFormat="1" ht="24">
      <c r="A90" s="879">
        <v>30</v>
      </c>
      <c r="B90" s="3446"/>
      <c r="C90" s="815" t="s">
        <v>674</v>
      </c>
      <c r="D90" s="815" t="s">
        <v>675</v>
      </c>
      <c r="E90" s="892">
        <v>0.2</v>
      </c>
      <c r="F90" s="879">
        <v>30</v>
      </c>
    </row>
    <row r="91" spans="1:6" s="875" customFormat="1" ht="36">
      <c r="A91" s="879">
        <v>31</v>
      </c>
      <c r="B91" s="3446"/>
      <c r="C91" s="815" t="s">
        <v>676</v>
      </c>
      <c r="D91" s="815" t="s">
        <v>677</v>
      </c>
      <c r="E91" s="892">
        <v>0.2</v>
      </c>
      <c r="F91" s="879">
        <v>30</v>
      </c>
    </row>
    <row r="92" spans="1:6" s="875" customFormat="1" ht="24">
      <c r="A92" s="879">
        <v>32</v>
      </c>
      <c r="B92" s="3446" t="s">
        <v>678</v>
      </c>
      <c r="C92" s="879" t="s">
        <v>679</v>
      </c>
      <c r="D92" s="815" t="s">
        <v>680</v>
      </c>
      <c r="E92" s="892">
        <v>0.2</v>
      </c>
      <c r="F92" s="879">
        <v>30</v>
      </c>
    </row>
    <row r="93" spans="1:6" s="875" customFormat="1" ht="36">
      <c r="A93" s="879">
        <v>33</v>
      </c>
      <c r="B93" s="3446"/>
      <c r="C93" s="879" t="s">
        <v>681</v>
      </c>
      <c r="D93" s="815" t="s">
        <v>682</v>
      </c>
      <c r="E93" s="892">
        <v>0.2</v>
      </c>
      <c r="F93" s="879">
        <v>30</v>
      </c>
    </row>
    <row r="94" spans="1:6" s="875" customFormat="1" ht="48">
      <c r="A94" s="879">
        <v>34</v>
      </c>
      <c r="B94" s="3446"/>
      <c r="C94" s="879" t="s">
        <v>683</v>
      </c>
      <c r="D94" s="815" t="s">
        <v>684</v>
      </c>
      <c r="E94" s="892">
        <v>0.2</v>
      </c>
      <c r="F94" s="879">
        <v>30</v>
      </c>
    </row>
    <row r="95" spans="1:6" s="875" customFormat="1" ht="36">
      <c r="A95" s="879">
        <v>35</v>
      </c>
      <c r="B95" s="3446"/>
      <c r="C95" s="879" t="s">
        <v>685</v>
      </c>
      <c r="D95" s="815" t="s">
        <v>686</v>
      </c>
      <c r="E95" s="892">
        <v>0.2</v>
      </c>
      <c r="F95" s="879">
        <v>30</v>
      </c>
    </row>
    <row r="96" spans="1:6" s="875" customFormat="1" ht="48">
      <c r="A96" s="879">
        <v>36</v>
      </c>
      <c r="B96" s="3446"/>
      <c r="C96" s="815" t="s">
        <v>687</v>
      </c>
      <c r="D96" s="815" t="s">
        <v>688</v>
      </c>
      <c r="E96" s="892">
        <v>0.2</v>
      </c>
      <c r="F96" s="879">
        <v>30</v>
      </c>
    </row>
    <row r="97" spans="1:6" s="875" customFormat="1" ht="36">
      <c r="A97" s="879">
        <v>37</v>
      </c>
      <c r="B97" s="3446"/>
      <c r="C97" s="879" t="s">
        <v>689</v>
      </c>
      <c r="D97" s="815" t="s">
        <v>690</v>
      </c>
      <c r="E97" s="892">
        <v>0.2</v>
      </c>
      <c r="F97" s="879">
        <v>30</v>
      </c>
    </row>
    <row r="98" spans="1:6" s="875" customFormat="1" ht="36">
      <c r="A98" s="879">
        <v>38</v>
      </c>
      <c r="B98" s="3446"/>
      <c r="C98" s="879" t="s">
        <v>691</v>
      </c>
      <c r="D98" s="815" t="s">
        <v>692</v>
      </c>
      <c r="E98" s="892">
        <v>0.2</v>
      </c>
      <c r="F98" s="879">
        <v>30</v>
      </c>
    </row>
    <row r="99" spans="1:6" s="875" customFormat="1" ht="36">
      <c r="A99" s="879">
        <v>39</v>
      </c>
      <c r="B99" s="3446" t="s">
        <v>693</v>
      </c>
      <c r="C99" s="879" t="s">
        <v>694</v>
      </c>
      <c r="D99" s="815" t="s">
        <v>695</v>
      </c>
      <c r="E99" s="892">
        <v>0.3</v>
      </c>
      <c r="F99" s="879">
        <v>50</v>
      </c>
    </row>
    <row r="100" spans="1:6" s="875" customFormat="1" ht="24">
      <c r="A100" s="879">
        <v>40</v>
      </c>
      <c r="B100" s="3446"/>
      <c r="C100" s="879" t="s">
        <v>696</v>
      </c>
      <c r="D100" s="815" t="s">
        <v>697</v>
      </c>
      <c r="E100" s="892">
        <v>0.2</v>
      </c>
      <c r="F100" s="879">
        <v>30</v>
      </c>
    </row>
    <row r="101" spans="1:6" s="875" customFormat="1" ht="36">
      <c r="A101" s="879">
        <v>41</v>
      </c>
      <c r="B101" s="344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46" t="s">
        <v>708</v>
      </c>
      <c r="C105" s="879" t="s">
        <v>709</v>
      </c>
      <c r="D105" s="815" t="s">
        <v>710</v>
      </c>
      <c r="E105" s="892">
        <v>0.2</v>
      </c>
      <c r="F105" s="879">
        <v>30</v>
      </c>
    </row>
    <row r="106" spans="1:6" s="875" customFormat="1" ht="36">
      <c r="A106" s="879">
        <v>46</v>
      </c>
      <c r="B106" s="3446"/>
      <c r="C106" s="879" t="s">
        <v>711</v>
      </c>
      <c r="D106" s="815" t="s">
        <v>712</v>
      </c>
      <c r="E106" s="892">
        <v>0.2</v>
      </c>
      <c r="F106" s="879">
        <v>30</v>
      </c>
    </row>
    <row r="107" spans="1:6" s="875" customFormat="1" ht="36">
      <c r="A107" s="879">
        <v>47</v>
      </c>
      <c r="B107" s="3446" t="s">
        <v>713</v>
      </c>
      <c r="C107" s="879" t="s">
        <v>714</v>
      </c>
      <c r="D107" s="815" t="s">
        <v>715</v>
      </c>
      <c r="E107" s="892">
        <v>0.3</v>
      </c>
      <c r="F107" s="879">
        <v>50</v>
      </c>
    </row>
    <row r="108" spans="1:6" s="875" customFormat="1" ht="36">
      <c r="A108" s="879">
        <v>48</v>
      </c>
      <c r="B108" s="344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46" t="s">
        <v>724</v>
      </c>
      <c r="C111" s="879" t="s">
        <v>725</v>
      </c>
      <c r="D111" s="815" t="s">
        <v>726</v>
      </c>
      <c r="E111" s="892">
        <v>0.2</v>
      </c>
      <c r="F111" s="879">
        <v>30</v>
      </c>
    </row>
    <row r="112" spans="1:6" s="875" customFormat="1" ht="24">
      <c r="A112" s="879">
        <v>52</v>
      </c>
      <c r="B112" s="3446"/>
      <c r="C112" s="879" t="s">
        <v>727</v>
      </c>
      <c r="D112" s="815" t="s">
        <v>728</v>
      </c>
      <c r="E112" s="892">
        <v>0.2</v>
      </c>
      <c r="F112" s="879">
        <v>30</v>
      </c>
    </row>
    <row r="113" spans="1:6" s="875" customFormat="1" ht="24">
      <c r="A113" s="879">
        <v>53</v>
      </c>
      <c r="B113" s="344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46" t="s">
        <v>737</v>
      </c>
      <c r="C116" s="879" t="s">
        <v>738</v>
      </c>
      <c r="D116" s="815" t="s">
        <v>739</v>
      </c>
      <c r="E116" s="892">
        <v>0.2</v>
      </c>
      <c r="F116" s="879">
        <v>30</v>
      </c>
    </row>
    <row r="117" spans="1:6" ht="36">
      <c r="A117" s="879">
        <v>57</v>
      </c>
      <c r="B117" s="344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1.1861999999999999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2997</v>
      </c>
    </row>
    <row r="2" spans="1:5" ht="15.75">
      <c r="A2" s="2906" t="s">
        <v>2989</v>
      </c>
      <c r="B2" s="2907">
        <f ca="1">SUMIF(B6:B13,"&lt;&gt;#ref!",B6:B13)</f>
        <v>74325</v>
      </c>
      <c r="C2" s="2906" t="s">
        <v>2990</v>
      </c>
      <c r="D2" s="2906" t="s">
        <v>2991</v>
      </c>
      <c r="E2" s="2907" t="e">
        <f ca="1">SUM(E6:E13)</f>
        <v>#REF!</v>
      </c>
    </row>
    <row r="3" spans="1:5" ht="15.75">
      <c r="A3" s="2906" t="s">
        <v>2992</v>
      </c>
      <c r="B3" s="2907" t="e">
        <f ca="1">ROUND(B2*10000/E2,0)</f>
        <v>#REF!</v>
      </c>
      <c r="C3" s="2906" t="s">
        <v>2998</v>
      </c>
      <c r="D3" s="2908"/>
      <c r="E3" s="2908"/>
    </row>
    <row r="4" spans="1:5" ht="15.75">
      <c r="A4" s="2909"/>
      <c r="B4" s="2908"/>
      <c r="C4" s="2908"/>
      <c r="D4" s="2908"/>
      <c r="E4" s="2908"/>
    </row>
    <row r="5" spans="1:5" ht="28.5">
      <c r="A5" s="2910" t="s">
        <v>2993</v>
      </c>
      <c r="B5" s="2906" t="s">
        <v>2994</v>
      </c>
      <c r="C5" s="2907"/>
      <c r="D5" s="2908"/>
      <c r="E5" s="2906" t="s">
        <v>2995</v>
      </c>
    </row>
    <row r="6" spans="1:5" ht="15.75">
      <c r="A6" s="2911" t="s">
        <v>2996</v>
      </c>
      <c r="B6" s="2907">
        <f ca="1">SUMIF(INDIRECT("'"&amp;A6&amp;"'"&amp;"!A:A"),"总价",INDIRECT("'"&amp;A6&amp;"'"&amp;"!B:B"))</f>
        <v>74325</v>
      </c>
      <c r="C6" s="2906" t="s">
        <v>2990</v>
      </c>
      <c r="D6" s="2908"/>
      <c r="E6" s="2573">
        <f ca="1">SUMIF(INDIRECT("'"&amp;A6&amp;"'"&amp;"!C:C"),"建筑面积",INDIRECT("'"&amp;A6&amp;"'"&amp;"!D:D"))</f>
        <v>69283.42999999992</v>
      </c>
    </row>
    <row r="7" spans="1:5" ht="15.75">
      <c r="A7" s="2911"/>
      <c r="B7" s="2907" t="e">
        <f ca="1">SUMIF(INDIRECT("'"&amp;A7&amp;"'"&amp;"!A:A"),"总价",INDIRECT("'"&amp;A7&amp;"'"&amp;"!B:B"))</f>
        <v>#REF!</v>
      </c>
      <c r="C7" s="2906" t="s">
        <v>2990</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2990</v>
      </c>
      <c r="D8" s="2908"/>
      <c r="E8" s="2573" t="e">
        <f t="shared" ca="1" si="0"/>
        <v>#REF!</v>
      </c>
    </row>
    <row r="9" spans="1:5" ht="15.75">
      <c r="A9" s="2911"/>
      <c r="B9" s="2907" t="e">
        <f t="shared" ca="1" si="1"/>
        <v>#REF!</v>
      </c>
      <c r="C9" s="2906" t="s">
        <v>2990</v>
      </c>
      <c r="D9" s="2908"/>
      <c r="E9" s="2573" t="e">
        <f t="shared" ca="1" si="0"/>
        <v>#REF!</v>
      </c>
    </row>
    <row r="10" spans="1:5" ht="15.75">
      <c r="A10" s="2911"/>
      <c r="B10" s="2907" t="e">
        <f t="shared" ca="1" si="1"/>
        <v>#REF!</v>
      </c>
      <c r="C10" s="2906" t="s">
        <v>2990</v>
      </c>
      <c r="D10" s="2908"/>
      <c r="E10" s="2573" t="e">
        <f t="shared" ca="1" si="0"/>
        <v>#REF!</v>
      </c>
    </row>
    <row r="11" spans="1:5" ht="15.75">
      <c r="A11" s="2911"/>
      <c r="B11" s="2907" t="e">
        <f t="shared" ca="1" si="1"/>
        <v>#REF!</v>
      </c>
      <c r="C11" s="2906" t="s">
        <v>2990</v>
      </c>
      <c r="D11" s="2908"/>
      <c r="E11" s="2573" t="e">
        <f t="shared" ca="1" si="0"/>
        <v>#REF!</v>
      </c>
    </row>
    <row r="12" spans="1:5" ht="15.75">
      <c r="A12" s="2911"/>
      <c r="B12" s="2907" t="e">
        <f t="shared" ca="1" si="1"/>
        <v>#REF!</v>
      </c>
      <c r="C12" s="2906" t="s">
        <v>2990</v>
      </c>
      <c r="D12" s="2908"/>
      <c r="E12" s="2573" t="e">
        <f t="shared" ca="1" si="0"/>
        <v>#REF!</v>
      </c>
    </row>
    <row r="13" spans="1:5" ht="15.75">
      <c r="A13" s="2911"/>
      <c r="B13" s="2907" t="e">
        <f t="shared" ca="1" si="1"/>
        <v>#REF!</v>
      </c>
      <c r="C13" s="2906" t="s">
        <v>2990</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31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0"/>
      <c r="C2" s="3110"/>
      <c r="D2" s="3110"/>
      <c r="E2" s="3110"/>
    </row>
    <row r="3" spans="1:5" ht="18">
      <c r="A3" s="3111" t="str">
        <f>IF(项目基本情况!B9="房地产市场价值","估价结果一览表（市场价值不需“结果表-1”）","估价结果一览表")</f>
        <v>估价结果一览表</v>
      </c>
      <c r="B3" s="3111"/>
      <c r="C3" s="3111"/>
      <c r="D3" s="3111"/>
      <c r="E3" s="3111"/>
    </row>
    <row r="4" spans="1:5" ht="19.5" thickBot="1">
      <c r="A4" s="1961"/>
      <c r="B4" s="3109" t="s">
        <v>1631</v>
      </c>
      <c r="C4" s="3109"/>
      <c r="D4" s="3109"/>
      <c r="E4" s="1961"/>
    </row>
    <row r="5" spans="1:5" ht="16.5" thickTop="1">
      <c r="A5" s="1959"/>
      <c r="B5" s="3107" t="s">
        <v>1623</v>
      </c>
      <c r="C5" s="1962" t="s">
        <v>1624</v>
      </c>
      <c r="D5" s="1040">
        <f ca="1">结果表!H101</f>
        <v>271791</v>
      </c>
      <c r="E5" s="1959"/>
    </row>
    <row r="6" spans="1:5" ht="15.75">
      <c r="A6" s="1959"/>
      <c r="B6" s="3107"/>
      <c r="C6" s="1962" t="s">
        <v>1625</v>
      </c>
      <c r="D6" s="1040" t="str">
        <f ca="1">NUMBERSTRING(INT(D5*10000),2)&amp;"元整"</f>
        <v>贰拾柒亿壹仟柒佰玖拾壹万元整</v>
      </c>
      <c r="E6" s="1959"/>
    </row>
    <row r="7" spans="1:5" ht="15.75">
      <c r="A7" s="1959"/>
      <c r="B7" s="3112"/>
      <c r="C7" s="1963" t="s">
        <v>1626</v>
      </c>
      <c r="D7" s="1041">
        <f ca="1">结果表!H102</f>
        <v>23161</v>
      </c>
      <c r="E7" s="1959"/>
    </row>
    <row r="8" spans="1:5" ht="15.75">
      <c r="A8" s="1959"/>
      <c r="B8" s="3113" t="str">
        <f>结果表!E103</f>
        <v>2.估价师知悉的法定优先受偿款</v>
      </c>
      <c r="C8" s="1964" t="s">
        <v>1627</v>
      </c>
      <c r="D8" s="1041">
        <f>结果表!H103</f>
        <v>0</v>
      </c>
      <c r="E8" s="1959"/>
    </row>
    <row r="9" spans="1:5" ht="15.75">
      <c r="A9" s="1959"/>
      <c r="B9" s="3115"/>
      <c r="C9" s="1962" t="s">
        <v>1625</v>
      </c>
      <c r="D9" s="1040" t="str">
        <f>NUMBERSTRING(INT(D8*10000),2)&amp;"元整"</f>
        <v>零元整</v>
      </c>
      <c r="E9" s="1959"/>
    </row>
    <row r="10" spans="1:5" ht="15">
      <c r="A10" s="1959"/>
      <c r="B10" s="1965" t="s">
        <v>1630</v>
      </c>
      <c r="C10" s="1966" t="s">
        <v>1628</v>
      </c>
      <c r="D10" s="1042">
        <f>结果表!H104</f>
        <v>0</v>
      </c>
      <c r="E10" s="1959"/>
    </row>
    <row r="11" spans="1:5" ht="15">
      <c r="A11" s="1959"/>
      <c r="B11" s="1965" t="s">
        <v>1632</v>
      </c>
      <c r="C11" s="1966" t="s">
        <v>1633</v>
      </c>
      <c r="D11" s="1042">
        <f>结果表!H105</f>
        <v>0</v>
      </c>
      <c r="E11" s="1959"/>
    </row>
    <row r="12" spans="1:5" ht="15">
      <c r="A12" s="1959"/>
      <c r="B12" s="1965" t="s">
        <v>1634</v>
      </c>
      <c r="C12" s="1966" t="s">
        <v>1633</v>
      </c>
      <c r="D12" s="1042">
        <f>结果表!H106</f>
        <v>0</v>
      </c>
      <c r="E12" s="1959"/>
    </row>
    <row r="13" spans="1:5" ht="15.75">
      <c r="A13" s="1959"/>
      <c r="B13" s="3106" t="str">
        <f>结果表!E107</f>
        <v>3.房地产抵押价值</v>
      </c>
      <c r="C13" s="1967" t="s">
        <v>1624</v>
      </c>
      <c r="D13" s="1043">
        <f ca="1">结果表!H107</f>
        <v>271791</v>
      </c>
      <c r="E13" s="1959"/>
    </row>
    <row r="14" spans="1:5" ht="15.75">
      <c r="A14" s="1959"/>
      <c r="B14" s="3107"/>
      <c r="C14" s="1962" t="s">
        <v>1625</v>
      </c>
      <c r="D14" s="1040" t="str">
        <f ca="1">NUMBERSTRING(INT(D13*10000),2)&amp;"元整"</f>
        <v>贰拾柒亿壹仟柒佰玖拾壹万元整</v>
      </c>
      <c r="E14" s="1959"/>
    </row>
    <row r="15" spans="1:5" ht="15">
      <c r="A15" s="1959"/>
      <c r="B15" s="3112"/>
      <c r="C15" s="1963" t="s">
        <v>1635</v>
      </c>
      <c r="D15" s="1052">
        <f ca="1">结果表!H108</f>
        <v>23161</v>
      </c>
      <c r="E15" s="1959"/>
    </row>
    <row r="16" spans="1:5" ht="15">
      <c r="A16" s="1959"/>
      <c r="B16" s="3113" t="str">
        <f>结果表!E109</f>
        <v>——</v>
      </c>
      <c r="C16" s="1967" t="s">
        <v>1636</v>
      </c>
      <c r="D16" s="1968" t="str">
        <f>结果表!H109</f>
        <v>——</v>
      </c>
      <c r="E16" s="1959"/>
    </row>
    <row r="17" spans="1:5" ht="15.75">
      <c r="A17" s="1959"/>
      <c r="B17" s="3114"/>
      <c r="C17" s="1962" t="s">
        <v>1637</v>
      </c>
      <c r="D17" s="1040" t="e">
        <f>NUMBERSTRING(INT(D16*10000),2)&amp;"元整"</f>
        <v>#VALUE!</v>
      </c>
      <c r="E17" s="1959"/>
    </row>
    <row r="18" spans="1:5" ht="15">
      <c r="A18" s="1959"/>
      <c r="B18" s="3115"/>
      <c r="C18" s="1963" t="s">
        <v>1626</v>
      </c>
      <c r="D18" s="1052" t="str">
        <f>结果表!H110</f>
        <v>——</v>
      </c>
      <c r="E18" s="1959"/>
    </row>
    <row r="19" spans="1:5" ht="15.75">
      <c r="A19" s="1959"/>
      <c r="B19" s="3106" t="str">
        <f>结果表!E111</f>
        <v>——</v>
      </c>
      <c r="C19" s="1967" t="s">
        <v>1624</v>
      </c>
      <c r="D19" s="1041" t="str">
        <f>结果表!H111</f>
        <v>——</v>
      </c>
      <c r="E19" s="1959"/>
    </row>
    <row r="20" spans="1:5" ht="15.75">
      <c r="A20" s="1959"/>
      <c r="B20" s="3107"/>
      <c r="C20" s="1962" t="s">
        <v>1637</v>
      </c>
      <c r="D20" s="1040" t="e">
        <f>NUMBERSTRING(INT(D19*10000),2)&amp;"元整"</f>
        <v>#VALUE!</v>
      </c>
      <c r="E20" s="1959"/>
    </row>
    <row r="21" spans="1:5" ht="15.75" thickBot="1">
      <c r="A21" s="1959"/>
      <c r="B21" s="3108"/>
      <c r="C21" s="1969" t="s">
        <v>1635</v>
      </c>
      <c r="D21" s="1053"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448" t="s">
        <v>3000</v>
      </c>
      <c r="D1" s="3449"/>
      <c r="E1" s="3449"/>
      <c r="F1" s="3449"/>
      <c r="G1" s="3449"/>
      <c r="H1" s="3449"/>
      <c r="I1" s="3449"/>
      <c r="J1" s="3449"/>
      <c r="K1" s="3449"/>
      <c r="L1" s="3449"/>
      <c r="M1" s="3449"/>
      <c r="N1" s="3449"/>
      <c r="O1" s="3449"/>
      <c r="P1" s="3449"/>
      <c r="Q1" s="3449"/>
      <c r="R1" s="3449"/>
      <c r="S1" s="3450"/>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3009</v>
      </c>
      <c r="B17" s="291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5" t="s">
        <v>3013</v>
      </c>
      <c r="E20" s="1793"/>
      <c r="F20" s="1204" t="e">
        <f ca="1">SUMIF(INDIRECT("'"&amp;H20&amp;"'"&amp;"!A:A"),"承租人权益价值",INDIRECT("'"&amp;H20&amp;"'"&amp;"!c:c"))</f>
        <v>#REF!</v>
      </c>
      <c r="G20" s="1204" t="s">
        <v>3014</v>
      </c>
      <c r="H20" s="2916"/>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225" t="s">
        <v>33</v>
      </c>
      <c r="D22" s="3226"/>
      <c r="E22" s="3226"/>
      <c r="F22" s="3226"/>
      <c r="G22" s="3226"/>
      <c r="H22" s="3226"/>
      <c r="I22" s="3226"/>
      <c r="J22" s="3226"/>
      <c r="K22" s="3226"/>
      <c r="L22" s="3226"/>
      <c r="M22" s="3226"/>
      <c r="N22" s="3226"/>
      <c r="O22" s="3226"/>
      <c r="P22" s="3226"/>
      <c r="Q22" s="3447"/>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55178</v>
      </c>
      <c r="C2" s="2" t="s">
        <v>133</v>
      </c>
      <c r="D2" s="243"/>
      <c r="E2" s="243"/>
      <c r="F2" s="243"/>
      <c r="G2" s="243"/>
    </row>
    <row r="3" spans="1:7" s="244" customFormat="1" ht="18" customHeight="1" thickBot="1">
      <c r="A3" s="247" t="s">
        <v>85</v>
      </c>
      <c r="B3" s="248">
        <f ca="1">ROUND(B2*10000/'数据-汇总表'!E3,0)</f>
        <v>4702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770</v>
      </c>
      <c r="D9" s="1032">
        <f>'数据-汇总表'!E5</f>
        <v>51317.149999999921</v>
      </c>
      <c r="E9" s="269">
        <f>'数据-取费表'!B27</f>
        <v>150</v>
      </c>
      <c r="F9" s="265"/>
      <c r="G9" s="270"/>
    </row>
    <row r="10" spans="1:7" s="258" customFormat="1" ht="13.5" customHeight="1">
      <c r="A10" s="950" t="s">
        <v>801</v>
      </c>
      <c r="B10" s="268" t="s">
        <v>94</v>
      </c>
      <c r="C10" s="269">
        <f>ROUND(D10*E10/10000,0)</f>
        <v>1255</v>
      </c>
      <c r="D10" s="1032">
        <f>'数据-汇总表'!E6</f>
        <v>66031.010000000009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1056</v>
      </c>
      <c r="D19" s="1036">
        <f>'数据-汇总表'!E3</f>
        <v>117348.15999999993</v>
      </c>
      <c r="E19" s="255">
        <f>'数据-取费表'!B31</f>
        <v>90</v>
      </c>
      <c r="F19" s="275"/>
      <c r="G19" s="1" t="s">
        <v>1074</v>
      </c>
    </row>
    <row r="20" spans="1:7" s="258" customFormat="1" ht="13.5" customHeight="1">
      <c r="A20" s="948" t="s">
        <v>1057</v>
      </c>
      <c r="B20" s="254" t="s">
        <v>104</v>
      </c>
      <c r="C20" s="276">
        <f>ROUND((C5+C19)*F20,0)</f>
        <v>433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2017</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97</v>
      </c>
      <c r="D24" s="282"/>
      <c r="E24" s="282"/>
      <c r="F24" s="283"/>
      <c r="G24" s="284" t="s">
        <v>109</v>
      </c>
    </row>
    <row r="25" spans="1:7" s="258" customFormat="1" ht="24">
      <c r="A25" s="951" t="s">
        <v>793</v>
      </c>
      <c r="B25" s="259" t="s">
        <v>1058</v>
      </c>
      <c r="C25" s="1355">
        <f ca="1">ROUND(IF('数据-取费表'!B22&lt;=1,C20*F22*'数据-取费表'!B23/2,C20*(POWER((1+F22),'数据-取费表'!B23/2)-1)),0)</f>
        <v>20</v>
      </c>
      <c r="D25" s="282"/>
      <c r="E25" s="285"/>
      <c r="F25" s="283"/>
      <c r="G25" s="286" t="s">
        <v>110</v>
      </c>
    </row>
    <row r="26" spans="1:7" s="258" customFormat="1">
      <c r="A26" s="951" t="s">
        <v>795</v>
      </c>
      <c r="B26" s="259" t="s">
        <v>1060</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2099</v>
      </c>
      <c r="D27" s="279">
        <f>C29</f>
        <v>1.9E-3</v>
      </c>
      <c r="E27" s="280" t="s">
        <v>126</v>
      </c>
      <c r="F27" s="290">
        <f>'数据-取费表'!Q16</f>
        <v>0.15</v>
      </c>
      <c r="G27" s="291" t="s">
        <v>1069</v>
      </c>
    </row>
    <row r="28" spans="1:7" s="258" customFormat="1" ht="13.5" customHeight="1">
      <c r="A28" s="951" t="s">
        <v>794</v>
      </c>
      <c r="B28" s="292" t="s">
        <v>1062</v>
      </c>
      <c r="C28" s="293">
        <f>ROUND((C5+C19+C20)*F27*'数据-取费表'!B21/'数据-取费表'!B20,0)</f>
        <v>2099</v>
      </c>
      <c r="D28" s="279"/>
      <c r="E28" s="280"/>
      <c r="F28" s="290"/>
      <c r="G28" s="291"/>
    </row>
    <row r="29" spans="1:7" s="258" customFormat="1" ht="13.5" customHeight="1">
      <c r="A29" s="951" t="s">
        <v>792</v>
      </c>
      <c r="B29" s="292" t="s">
        <v>1063</v>
      </c>
      <c r="C29" s="282">
        <f>ROUND(C21*F27*'数据-取费表'!B21/'数据-取费表'!B20,4)</f>
        <v>1.9E-3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28346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20333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17474</v>
      </c>
      <c r="D34" s="261"/>
      <c r="E34" s="264"/>
      <c r="F34" s="301">
        <f>IF('数据-取费表'!B24=0,1,'数据-取费表'!N16)</f>
        <v>0.63800000000000001</v>
      </c>
      <c r="G34" s="263" t="s">
        <v>116</v>
      </c>
    </row>
    <row r="35" spans="1:7" ht="13.5" customHeight="1">
      <c r="A35" s="951" t="s">
        <v>796</v>
      </c>
      <c r="B35" s="259" t="s">
        <v>60</v>
      </c>
      <c r="C35" s="264">
        <f>ROUND(C34*F35,0)</f>
        <v>524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576</v>
      </c>
      <c r="D36" s="264"/>
      <c r="E36" s="264"/>
      <c r="F36" s="303">
        <f>'数据-取费表'!B34</f>
        <v>0.08</v>
      </c>
      <c r="G36" s="304" t="s">
        <v>62</v>
      </c>
    </row>
    <row r="37" spans="1:7" s="302" customFormat="1" ht="13.5" customHeight="1">
      <c r="A37" s="951" t="s">
        <v>798</v>
      </c>
      <c r="B37" s="259" t="s">
        <v>118</v>
      </c>
      <c r="C37" s="293">
        <f>ROUND(E37*D37*F34/10000,0)</f>
        <v>1497</v>
      </c>
      <c r="D37" s="261">
        <f>'数据-汇总表'!E3</f>
        <v>117348.15999999993</v>
      </c>
      <c r="E37" s="293">
        <f>'数据-取费表'!B35</f>
        <v>200</v>
      </c>
      <c r="F37" s="303"/>
      <c r="G37" s="305" t="s">
        <v>119</v>
      </c>
    </row>
    <row r="38" spans="1:7" ht="13.5" customHeight="1">
      <c r="A38" s="951" t="s">
        <v>799</v>
      </c>
      <c r="B38" s="259" t="s">
        <v>63</v>
      </c>
      <c r="C38" s="264">
        <f>ROUND(C34*F38,0)</f>
        <v>262</v>
      </c>
      <c r="D38" s="264"/>
      <c r="E38" s="264"/>
      <c r="F38" s="303">
        <f>'数据-取费表'!B36</f>
        <v>1.4999999999999999E-2</v>
      </c>
      <c r="G38" s="263" t="s">
        <v>117</v>
      </c>
    </row>
    <row r="39" spans="1:7" s="258" customFormat="1" ht="13.5" customHeight="1">
      <c r="A39" s="948" t="s">
        <v>783</v>
      </c>
      <c r="B39" s="254" t="s">
        <v>104</v>
      </c>
      <c r="C39" s="276">
        <f>ROUND(C33*F20,0)</f>
        <v>407</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934</v>
      </c>
      <c r="D41" s="279">
        <f ca="1">C44</f>
        <v>8.9999999999999998E-4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916</v>
      </c>
      <c r="D42" s="282"/>
      <c r="E42" s="282"/>
      <c r="F42" s="283"/>
      <c r="G42" s="3310" t="s">
        <v>121</v>
      </c>
    </row>
    <row r="43" spans="1:7" ht="13.5" customHeight="1">
      <c r="A43" s="951" t="s">
        <v>792</v>
      </c>
      <c r="B43" s="259" t="s">
        <v>1064</v>
      </c>
      <c r="C43" s="282">
        <f ca="1">ROUND(IF('数据-取费表'!B22&lt;=1,C39*F22*'数据-取费表'!B21/2,C39*(POWER((1+F22),'数据-取费表'!B21/2)-1)),0)</f>
        <v>18</v>
      </c>
      <c r="D43" s="282"/>
      <c r="E43" s="282"/>
      <c r="F43" s="283"/>
      <c r="G43" s="3311"/>
    </row>
    <row r="44" spans="1:7" ht="13.5" customHeight="1">
      <c r="A44" s="951" t="s">
        <v>793</v>
      </c>
      <c r="B44" s="259" t="s">
        <v>1066</v>
      </c>
      <c r="C44" s="282">
        <f ca="1">ROUND(IF('数据-取费表'!B22&lt;=1,C40*F22*'数据-取费表'!B21/2,C40*(POWER((1+F22),'数据-取费表'!B21/2)-1)),4)</f>
        <v>8.9999999999999998E-4</v>
      </c>
      <c r="D44" s="282"/>
      <c r="E44" s="282"/>
      <c r="F44" s="283"/>
      <c r="G44" s="3312"/>
    </row>
    <row r="45" spans="1:7" s="258" customFormat="1" ht="13.5" customHeight="1">
      <c r="A45" s="948" t="s">
        <v>786</v>
      </c>
      <c r="B45" s="288" t="s">
        <v>112</v>
      </c>
      <c r="C45" s="289">
        <f>C46</f>
        <v>3111</v>
      </c>
      <c r="D45" s="279">
        <f>C47</f>
        <v>3.0000000000000001E-3</v>
      </c>
      <c r="E45" s="280" t="s">
        <v>129</v>
      </c>
      <c r="F45" s="290"/>
      <c r="G45" s="291" t="s">
        <v>1072</v>
      </c>
    </row>
    <row r="46" spans="1:7" s="258" customFormat="1" ht="13.5" customHeight="1">
      <c r="A46" s="951" t="s">
        <v>794</v>
      </c>
      <c r="B46" s="292" t="s">
        <v>1065</v>
      </c>
      <c r="C46" s="293">
        <f>ROUND((C33+C39)*F27,0)</f>
        <v>3111</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26832</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26832</v>
      </c>
      <c r="D51" s="276"/>
      <c r="E51" s="276"/>
      <c r="F51" s="308"/>
      <c r="G51" s="278" t="s">
        <v>64</v>
      </c>
    </row>
    <row r="52" spans="1:7" s="252" customFormat="1" ht="16.5" thickBot="1">
      <c r="A52" s="309" t="s">
        <v>65</v>
      </c>
      <c r="B52" s="310"/>
      <c r="C52" s="311">
        <f ca="1">C31+C51</f>
        <v>55178</v>
      </c>
      <c r="D52" s="310"/>
      <c r="E52" s="310"/>
      <c r="F52" s="310"/>
      <c r="G52" s="312"/>
    </row>
    <row r="55" spans="1:7" ht="15">
      <c r="B55" s="314" t="s">
        <v>66</v>
      </c>
      <c r="C55" s="315"/>
    </row>
    <row r="56" spans="1:7">
      <c r="B56" s="317" t="s">
        <v>67</v>
      </c>
      <c r="C56" s="318">
        <f ca="1">ROUND(C51/C52,3)</f>
        <v>0.48599999999999999</v>
      </c>
    </row>
    <row r="57" spans="1:7">
      <c r="B57" s="317" t="s">
        <v>68</v>
      </c>
      <c r="C57" s="319">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451" t="s">
        <v>156</v>
      </c>
      <c r="B1" s="3451"/>
      <c r="C1" s="3451"/>
      <c r="D1" s="3451"/>
      <c r="E1" s="3451"/>
      <c r="F1" s="345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52" t="s">
        <v>169</v>
      </c>
      <c r="B2" s="3452"/>
      <c r="C2" s="3452"/>
      <c r="D2" s="3452"/>
      <c r="E2" s="3452"/>
      <c r="F2" s="345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5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5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51" t="s">
        <v>871</v>
      </c>
      <c r="B1" s="345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43111</v>
      </c>
      <c r="D1" s="1700" t="s">
        <v>1301</v>
      </c>
      <c r="E1" s="1695">
        <f>'数据-取费表'!B22</f>
        <v>3</v>
      </c>
      <c r="F1" s="1700" t="s">
        <v>1302</v>
      </c>
      <c r="G1" s="1696">
        <f ca="1">INDIRECT("d"&amp;$K$1)/100</f>
        <v>4.7500000000000001E-2</v>
      </c>
      <c r="H1" s="1700" t="s">
        <v>1332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48</v>
      </c>
      <c r="D1" s="1820" t="s">
        <v>3168</v>
      </c>
      <c r="E1" s="1821" t="s">
        <v>1387</v>
      </c>
      <c r="F1" s="1283">
        <f ca="1">J53</f>
        <v>46.85</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9689</v>
      </c>
      <c r="C2" s="1845" t="s">
        <v>1517</v>
      </c>
      <c r="D2" s="1845"/>
      <c r="E2" s="1846"/>
      <c r="F2" s="1847"/>
      <c r="G2" s="1848"/>
      <c r="H2" s="1840"/>
      <c r="I2" s="1840"/>
      <c r="J2" s="1840"/>
      <c r="K2" s="1841"/>
      <c r="L2" s="1840"/>
      <c r="M2" s="1840"/>
    </row>
    <row r="3" spans="1:37" ht="18" customHeight="1" thickBot="1">
      <c r="A3" s="1849" t="s">
        <v>1518</v>
      </c>
      <c r="B3" s="1850">
        <f ca="1">IF(ISERROR(B2*10000/F43),0,ROUND(B2*10000/F43,0))</f>
        <v>9491</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469</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469</v>
      </c>
      <c r="D6" s="164" t="s">
        <v>3028</v>
      </c>
      <c r="E6" s="347" t="s">
        <v>1405</v>
      </c>
      <c r="F6" s="348">
        <f ca="1">INDIRECT("'数据-取费表'!u"&amp;$G$1)</f>
        <v>1.4</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2927" t="s">
        <v>1406</v>
      </c>
      <c r="F7" s="348">
        <f ca="1">IF(INDIRECT("'数据-取费表'!ah"&amp;$G$1)="",INDIRECT("'数据-取费表'!k"&amp;$G$1),INDIRECT("'数据-取费表'!ah"&amp;$G$1))</f>
        <v>10208.15</v>
      </c>
      <c r="G7" s="1851"/>
      <c r="H7" s="349"/>
      <c r="I7" s="3399"/>
      <c r="J7" s="351"/>
      <c r="K7" s="352"/>
      <c r="L7" s="347" t="s">
        <v>1406</v>
      </c>
      <c r="M7" s="348">
        <f ca="1">F7</f>
        <v>10208.15</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0.1</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3029</v>
      </c>
      <c r="E10" s="358" t="s">
        <v>1411</v>
      </c>
      <c r="F10" s="1366"/>
      <c r="G10" s="1851"/>
      <c r="H10" s="1291" t="s">
        <v>1039</v>
      </c>
      <c r="I10" s="1823" t="s">
        <v>1409</v>
      </c>
      <c r="J10" s="346">
        <f ca="1">ROUND(IF(M10="押一",M6*M8*M7/12*M11,IF(M10="押二",M6*M8*M7/12*2*M11,IF(M10="押三",M6*M8*M7/12*3*M11,J11*M11)))/10000,0)</f>
        <v>0</v>
      </c>
      <c r="K10" s="1824" t="s">
        <v>3030</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2294</v>
      </c>
      <c r="D14" s="2930" t="s">
        <v>1419</v>
      </c>
      <c r="E14" s="2929"/>
      <c r="F14" s="364"/>
      <c r="G14" s="1851"/>
      <c r="H14" s="1201" t="s">
        <v>1035</v>
      </c>
      <c r="I14" s="347" t="s">
        <v>1420</v>
      </c>
      <c r="J14" s="24">
        <f ca="1">C29</f>
        <v>3372</v>
      </c>
      <c r="K14" s="2926"/>
      <c r="L14" s="979"/>
      <c r="M14" s="980"/>
    </row>
    <row r="15" spans="1:37" s="1858" customFormat="1" ht="18" customHeight="1" thickBot="1">
      <c r="A15" s="1201" t="s">
        <v>1036</v>
      </c>
      <c r="B15" s="347" t="s">
        <v>1421</v>
      </c>
      <c r="C15" s="24">
        <f ca="1">ROUND(C14*F15,0)</f>
        <v>69</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79</v>
      </c>
      <c r="K16" s="1337" t="s">
        <v>1426</v>
      </c>
      <c r="L16" s="2933"/>
      <c r="M16" s="1294"/>
    </row>
    <row r="17" spans="1:37" s="1858" customFormat="1" ht="18" customHeight="1">
      <c r="A17" s="1201" t="s">
        <v>1390</v>
      </c>
      <c r="B17" s="347" t="s">
        <v>1427</v>
      </c>
      <c r="C17" s="24">
        <f ca="1">ROUND(F17*(F43+INDIRECT("'数据-取费表'!S"&amp;$G$1))/10000,0)</f>
        <v>209</v>
      </c>
      <c r="D17" s="347" t="s">
        <v>1428</v>
      </c>
      <c r="E17" s="347" t="s">
        <v>1429</v>
      </c>
      <c r="F17" s="26">
        <f>'数据-取费表'!B35</f>
        <v>200</v>
      </c>
      <c r="G17" s="1854"/>
      <c r="H17" s="1201" t="s">
        <v>1035</v>
      </c>
      <c r="I17" s="347" t="s">
        <v>1430</v>
      </c>
      <c r="J17" s="24">
        <f ca="1">ROUND(IF(项目基本情况!B11="自然人",J5*M17,J18+J19+J20),1)</f>
        <v>28.7</v>
      </c>
      <c r="K17" s="2930" t="s">
        <v>1431</v>
      </c>
      <c r="L17" s="2932"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34</v>
      </c>
      <c r="D18" s="347" t="s">
        <v>1422</v>
      </c>
      <c r="E18" s="347" t="s">
        <v>1423</v>
      </c>
      <c r="F18" s="367">
        <f>'数据-取费表'!B36</f>
        <v>1.4999999999999999E-2</v>
      </c>
      <c r="G18" s="1854"/>
      <c r="H18" s="1201" t="s">
        <v>1034</v>
      </c>
      <c r="I18" s="347" t="s">
        <v>1434</v>
      </c>
      <c r="J18" s="24">
        <f ca="1">ROUND(J5*M18/(1+'数据-取费表'!C42),2)</f>
        <v>0</v>
      </c>
      <c r="K18" s="2932"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2606</v>
      </c>
      <c r="D19" s="140" t="s">
        <v>1437</v>
      </c>
      <c r="E19" s="2925"/>
      <c r="F19" s="26"/>
      <c r="G19" s="1851"/>
      <c r="H19" s="1201" t="s">
        <v>1036</v>
      </c>
      <c r="I19" s="347" t="s">
        <v>1438</v>
      </c>
      <c r="J19" s="24">
        <f ca="1">IF(K19="按租金收入计税",ROUND(J5*M19,2),ROUND(C29*M19*0.7,2))</f>
        <v>28.32</v>
      </c>
      <c r="K19" s="1828" t="s">
        <v>1439</v>
      </c>
      <c r="L19" s="347" t="s">
        <v>1423</v>
      </c>
      <c r="M19" s="367">
        <f>IF(K19="按租金收入计税",'数据-取费表'!B51,'数据-取费表'!B50)</f>
        <v>1.2E-2</v>
      </c>
    </row>
    <row r="20" spans="1:37" s="1858" customFormat="1" ht="18" customHeight="1">
      <c r="A20" s="1201" t="s">
        <v>1039</v>
      </c>
      <c r="B20" s="347" t="s">
        <v>1440</v>
      </c>
      <c r="C20" s="24">
        <f ca="1">ROUND(C19*F20,0)</f>
        <v>52</v>
      </c>
      <c r="D20" s="369" t="s">
        <v>1441</v>
      </c>
      <c r="E20" s="347" t="s">
        <v>1423</v>
      </c>
      <c r="F20" s="367">
        <f>'数据-取费表'!B37</f>
        <v>0.02</v>
      </c>
      <c r="G20" s="1854"/>
      <c r="H20" s="1201" t="s">
        <v>1389</v>
      </c>
      <c r="I20" s="164" t="s">
        <v>1442</v>
      </c>
      <c r="J20" s="25">
        <f ca="1">ROUND(M20*M21/10000,2)</f>
        <v>0.42</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2778.96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25"/>
      <c r="F22" s="26"/>
      <c r="G22" s="1851"/>
      <c r="H22" s="1201" t="s">
        <v>1039</v>
      </c>
      <c r="I22" s="347" t="s">
        <v>1450</v>
      </c>
      <c r="J22" s="24">
        <f ca="1">ROUND(J14*M22,1)</f>
        <v>50.6</v>
      </c>
      <c r="K22" s="2932"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192</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2932"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ROUND(J5*M24,1)</f>
        <v>0</v>
      </c>
      <c r="K24" s="1342" t="s">
        <v>1460</v>
      </c>
      <c r="L24" s="1340" t="s">
        <v>1456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2925"/>
      <c r="F25" s="26"/>
      <c r="G25" s="1851"/>
      <c r="H25" s="1329" t="s">
        <v>1031</v>
      </c>
      <c r="I25" s="1344" t="s">
        <v>1464</v>
      </c>
      <c r="J25" s="355">
        <f ca="1">J5-J16</f>
        <v>-79</v>
      </c>
      <c r="K25" s="1345" t="s">
        <v>1465</v>
      </c>
      <c r="L25" s="1346"/>
      <c r="M25" s="1347"/>
    </row>
    <row r="26" spans="1:37">
      <c r="A26" s="1201" t="s">
        <v>1034</v>
      </c>
      <c r="B26" s="347" t="s">
        <v>1466</v>
      </c>
      <c r="C26" s="24">
        <f ca="1">ROUND((C19+C20)*F26,0)</f>
        <v>266</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3372</v>
      </c>
      <c r="D29" s="1342"/>
      <c r="E29" s="1340"/>
      <c r="F29" s="1343"/>
      <c r="G29" s="1854"/>
      <c r="H29" s="380" t="s">
        <v>1033</v>
      </c>
      <c r="I29" s="381" t="s">
        <v>1480</v>
      </c>
      <c r="J29" s="382">
        <f ca="1">ROUND(J26/(1+F40)^F41,0)</f>
        <v>0</v>
      </c>
      <c r="K29" s="383" t="s">
        <v>1481</v>
      </c>
      <c r="L29" s="384"/>
      <c r="M29" s="385">
        <f ca="1">INDIRECT("'数据-取费表'!k"&amp;$G$1)</f>
        <v>10208.15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111</v>
      </c>
      <c r="D30" s="1337" t="s">
        <v>1426</v>
      </c>
      <c r="E30" s="2933"/>
      <c r="F30" s="1294"/>
      <c r="G30" s="1851"/>
      <c r="H30" s="745"/>
      <c r="I30" s="746"/>
      <c r="J30" s="747"/>
      <c r="K30" s="748"/>
      <c r="L30" s="749"/>
      <c r="M30" s="750"/>
    </row>
    <row r="31" spans="1:37" ht="18" customHeight="1">
      <c r="A31" s="1201" t="s">
        <v>1035</v>
      </c>
      <c r="B31" s="347" t="s">
        <v>1430</v>
      </c>
      <c r="C31" s="24">
        <f ca="1">ROUND(IF(项目基本情况!B11="自然人",C5*F31,C32+C33+C34),1)</f>
        <v>53.3</v>
      </c>
      <c r="D31" s="2930" t="s">
        <v>1431</v>
      </c>
      <c r="E31" s="2932"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24.57</v>
      </c>
      <c r="D32" s="2932"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28.32</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0.42</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2778.96</v>
      </c>
      <c r="G35" s="1851"/>
      <c r="H35" s="745"/>
      <c r="I35" s="1860"/>
      <c r="J35" s="1861"/>
      <c r="K35" s="1862"/>
      <c r="L35" s="1859"/>
      <c r="M35" s="1859"/>
    </row>
    <row r="36" spans="1:18" ht="18" customHeight="1">
      <c r="A36" s="1352" t="s">
        <v>1039</v>
      </c>
      <c r="B36" s="347" t="s">
        <v>1450</v>
      </c>
      <c r="C36" s="24">
        <f ca="1">ROUND(C29*F36,1)</f>
        <v>50.6</v>
      </c>
      <c r="D36" s="2932"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2932" t="s">
        <v>1455</v>
      </c>
      <c r="E37" s="347" t="s">
        <v>1456</v>
      </c>
      <c r="F37" s="376">
        <f ca="1">INDIRECT("'数据-取费表'!Al"&amp;$G$1)</f>
        <v>1.5E-3</v>
      </c>
      <c r="G37" s="1851"/>
      <c r="H37" s="1859"/>
      <c r="I37" s="1860"/>
      <c r="J37" s="1861"/>
      <c r="K37" s="751"/>
      <c r="L37" s="1859"/>
      <c r="M37" s="1859"/>
    </row>
    <row r="38" spans="1:18" ht="18" customHeight="1" thickBot="1">
      <c r="A38" s="1339" t="s">
        <v>1393</v>
      </c>
      <c r="B38" s="1340" t="s">
        <v>1440</v>
      </c>
      <c r="C38" s="1341">
        <f ca="1">ROUND(C5*F38,1)</f>
        <v>7</v>
      </c>
      <c r="D38" s="1342" t="s">
        <v>1460</v>
      </c>
      <c r="E38" s="1340" t="s">
        <v>1456</v>
      </c>
      <c r="F38" s="1336">
        <f ca="1">INDIRECT("'数据-取费表'!Am"&amp;$G$1)</f>
        <v>1.4999999999999999E-2</v>
      </c>
      <c r="G38" s="1851"/>
      <c r="H38" s="1859"/>
      <c r="I38" s="1860"/>
      <c r="J38" s="1861"/>
      <c r="K38" s="1865"/>
      <c r="L38" s="1859"/>
      <c r="M38" s="1859"/>
    </row>
    <row r="39" spans="1:18" ht="24.6" customHeight="1" thickTop="1">
      <c r="A39" s="1329" t="s">
        <v>1031</v>
      </c>
      <c r="B39" s="1344" t="s">
        <v>1484</v>
      </c>
      <c r="C39" s="355">
        <f ca="1">C5-C30</f>
        <v>358</v>
      </c>
      <c r="D39" s="1345" t="s">
        <v>1485</v>
      </c>
      <c r="E39" s="1346"/>
      <c r="F39" s="1347"/>
      <c r="G39" s="1851"/>
      <c r="H39" s="1859"/>
      <c r="I39" s="1860"/>
      <c r="J39" s="1861"/>
      <c r="K39" s="1865"/>
      <c r="L39" s="1859"/>
      <c r="M39" s="1859"/>
    </row>
    <row r="40" spans="1:18" ht="18" customHeight="1">
      <c r="A40" s="344" t="s">
        <v>1032</v>
      </c>
      <c r="B40" s="345" t="s">
        <v>1486</v>
      </c>
      <c r="C40" s="346">
        <f ca="1">ROUND(C39*(1-((1+F42)/(1+F40))^F41)/(F40-F42),0)</f>
        <v>9689</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9491</v>
      </c>
      <c r="D43" s="383" t="s">
        <v>1489</v>
      </c>
      <c r="E43" s="384" t="s">
        <v>1490</v>
      </c>
      <c r="F43" s="385">
        <f ca="1">INDIRECT("'数据-取费表'!k"&amp;$G$1)</f>
        <v>10208.15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-11108</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9689</v>
      </c>
      <c r="R47" s="1886" t="s">
        <v>1530</v>
      </c>
    </row>
    <row r="48" spans="1:18" s="1842" customFormat="1" ht="28.5" thickBot="1">
      <c r="A48" s="1360" t="s">
        <v>1135</v>
      </c>
      <c r="B48" s="345" t="s">
        <v>1401</v>
      </c>
      <c r="C48" s="2924">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3031</v>
      </c>
      <c r="E49" s="1830" t="s">
        <v>1492</v>
      </c>
      <c r="F49" s="1281"/>
      <c r="G49" s="1891"/>
      <c r="H49" s="793"/>
      <c r="I49" s="1887" t="s">
        <v>1535</v>
      </c>
      <c r="J49" s="1892">
        <v>2018</v>
      </c>
      <c r="K49" s="1889" t="s">
        <v>1536</v>
      </c>
      <c r="L49" s="1893"/>
      <c r="O49" s="1894" t="s">
        <v>1042</v>
      </c>
      <c r="P49" s="1885" t="s">
        <v>1537</v>
      </c>
      <c r="Q49" s="1886">
        <f ca="1">C29</f>
        <v>3372</v>
      </c>
      <c r="R49" s="1886" t="s">
        <v>1530</v>
      </c>
    </row>
    <row r="50" spans="1:18" s="1842" customFormat="1" ht="13.5" thickBot="1">
      <c r="A50" s="1195"/>
      <c r="B50" s="1198"/>
      <c r="C50" s="1368"/>
      <c r="D50" s="1172"/>
      <c r="E50" s="1277" t="s">
        <v>1406</v>
      </c>
      <c r="F50" s="1278">
        <f ca="1">F7</f>
        <v>10208.15</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7585</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3029</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9689</v>
      </c>
      <c r="R53" s="1886" t="s">
        <v>1047</v>
      </c>
    </row>
    <row r="54" spans="1:18" s="1842" customFormat="1" ht="13.5" thickBot="1">
      <c r="A54" s="1406"/>
      <c r="B54" s="1825" t="s">
        <v>1388</v>
      </c>
      <c r="C54" s="1178"/>
      <c r="D54" s="1824"/>
      <c r="E54" s="292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2928"/>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9689</v>
      </c>
      <c r="R56" s="1886" t="s">
        <v>1530</v>
      </c>
    </row>
    <row r="57" spans="1:18" s="1842" customFormat="1" ht="24.75" thickBot="1">
      <c r="A57" s="1918"/>
      <c r="B57" s="1169" t="s">
        <v>1479</v>
      </c>
      <c r="C57" s="282">
        <f ca="1">C29</f>
        <v>3372</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79</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28.7</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IF(项目基本情况!B11="自然人","——",IF(D61="按租金收入计税",ROUND(C48*F61,2),IF(D61="按房产原值计税",ROUND(C57*F61*0.7,2),INDIRECT("'数据-取费表'!Aj"&amp;$G$1))))</f>
        <v>28.32</v>
      </c>
      <c r="D61" s="1828" t="s">
        <v>1439</v>
      </c>
      <c r="E61" s="1169" t="s">
        <v>1495</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IF(项目基本情况!B11="自然人","——",ROUND(F62*F63/10000,2))</f>
        <v>0.42</v>
      </c>
      <c r="D62" s="1184" t="s">
        <v>1498</v>
      </c>
      <c r="E62" s="1169" t="s">
        <v>1499</v>
      </c>
      <c r="F62" s="371">
        <f t="shared" si="0"/>
        <v>1.5</v>
      </c>
      <c r="I62" s="1929" t="s">
        <v>1571</v>
      </c>
      <c r="J62" s="1930" t="s">
        <v>1572</v>
      </c>
      <c r="K62" s="1930" t="s">
        <v>1573</v>
      </c>
      <c r="L62" s="1930" t="s">
        <v>1574</v>
      </c>
      <c r="M62" s="1931" t="s">
        <v>1575</v>
      </c>
      <c r="O62" s="1884" t="s">
        <v>1046</v>
      </c>
      <c r="P62" s="1885" t="s">
        <v>1576</v>
      </c>
      <c r="Q62" s="1886">
        <f ca="1">Q56+Q57</f>
        <v>9689</v>
      </c>
      <c r="R62" s="1886" t="s">
        <v>1047</v>
      </c>
    </row>
    <row r="63" spans="1:18" s="1842" customFormat="1" ht="13.5" thickBot="1">
      <c r="A63" s="372"/>
      <c r="B63" s="1175"/>
      <c r="C63" s="29"/>
      <c r="D63" s="1185"/>
      <c r="E63" s="1169" t="s">
        <v>1500</v>
      </c>
      <c r="F63" s="348">
        <f t="shared" ca="1" si="0"/>
        <v>2778.96</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ROUND(C57*F64,1)</f>
        <v>50.6</v>
      </c>
      <c r="D64" s="1183" t="s">
        <v>1503</v>
      </c>
      <c r="E64" s="1169"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1456</v>
      </c>
      <c r="F65" s="376">
        <f t="shared" ca="1" si="0"/>
        <v>1.5E-3</v>
      </c>
      <c r="I65" s="1929" t="s">
        <v>1580</v>
      </c>
      <c r="J65" s="1930">
        <v>40</v>
      </c>
      <c r="K65" s="1930">
        <v>30</v>
      </c>
      <c r="L65" s="1930">
        <v>50</v>
      </c>
      <c r="M65" s="1932">
        <v>0.02</v>
      </c>
      <c r="O65" s="1884" t="s">
        <v>1040</v>
      </c>
      <c r="P65" s="1885" t="s">
        <v>1581</v>
      </c>
      <c r="Q65" s="1886">
        <f ca="1">C40+J29</f>
        <v>9689</v>
      </c>
      <c r="R65" s="1886" t="s">
        <v>1530</v>
      </c>
    </row>
    <row r="66" spans="1:18" s="1842" customFormat="1" ht="16.5" thickBot="1">
      <c r="A66" s="1201" t="s">
        <v>1505</v>
      </c>
      <c r="B66" s="1169" t="s">
        <v>1440</v>
      </c>
      <c r="C66" s="24">
        <f ca="1">ROUND(C48*F66,1)</f>
        <v>0</v>
      </c>
      <c r="D66" s="1183" t="s">
        <v>1506</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-79</v>
      </c>
      <c r="D67" s="1182" t="s">
        <v>1465</v>
      </c>
      <c r="E67" s="1187"/>
      <c r="F67" s="1188"/>
      <c r="O67" s="1894" t="s">
        <v>1042</v>
      </c>
      <c r="P67" s="1885" t="s">
        <v>1563</v>
      </c>
      <c r="Q67" s="1933">
        <f ca="1">L51</f>
        <v>7585</v>
      </c>
      <c r="R67" s="1886" t="s">
        <v>1583</v>
      </c>
    </row>
    <row r="68" spans="1:18" s="1842" customFormat="1" ht="16.5" thickBot="1">
      <c r="A68" s="1166" t="s">
        <v>1032</v>
      </c>
      <c r="B68" s="1167" t="s">
        <v>1486</v>
      </c>
      <c r="C68" s="346">
        <f ca="1">ROUND(C67*(1-((1+F70)/(1+F68))^F69)/(F68-F70),0)</f>
        <v>-1419</v>
      </c>
      <c r="D68" s="1184" t="s">
        <v>1470</v>
      </c>
      <c r="E68" s="1169" t="s">
        <v>1471</v>
      </c>
      <c r="F68" s="357">
        <f ca="1">F40</f>
        <v>0.05</v>
      </c>
      <c r="O68" s="1894" t="s">
        <v>1043</v>
      </c>
      <c r="P68" s="1934" t="s">
        <v>1584</v>
      </c>
      <c r="Q68" s="1886">
        <f ca="1">ROUND(Q69-Q70*Q71,0)</f>
        <v>358</v>
      </c>
      <c r="R68" s="1886" t="s">
        <v>1051</v>
      </c>
    </row>
    <row r="69" spans="1:18" s="1842" customFormat="1" ht="13.5" thickBot="1">
      <c r="A69" s="1170"/>
      <c r="B69" s="1171"/>
      <c r="C69" s="351"/>
      <c r="D69" s="1189" t="s">
        <v>1474</v>
      </c>
      <c r="E69" s="1169" t="s">
        <v>1475</v>
      </c>
      <c r="F69" s="379">
        <f ca="1">F41</f>
        <v>46.85</v>
      </c>
      <c r="O69" s="1894" t="s">
        <v>1048</v>
      </c>
      <c r="P69" s="1934" t="s">
        <v>1585</v>
      </c>
      <c r="Q69" s="1886">
        <f ca="1">C39</f>
        <v>358</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-1390</v>
      </c>
      <c r="D71" s="1192" t="s">
        <v>1489</v>
      </c>
      <c r="E71" s="1193" t="s">
        <v>1490</v>
      </c>
      <c r="F71" s="385">
        <f ca="1">F43</f>
        <v>10208.15</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9689</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3360</v>
      </c>
      <c r="D1" s="1820" t="s">
        <v>3168</v>
      </c>
      <c r="E1" s="1821" t="s">
        <v>1387</v>
      </c>
      <c r="F1" s="1283">
        <f ca="1">J53</f>
        <v>46.85</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23087</v>
      </c>
      <c r="C2" s="1845" t="s">
        <v>1517</v>
      </c>
      <c r="D2" s="1845"/>
      <c r="E2" s="1846"/>
      <c r="F2" s="1847"/>
      <c r="G2" s="1848"/>
      <c r="H2" s="1840"/>
      <c r="I2" s="1840"/>
      <c r="J2" s="1840"/>
      <c r="K2" s="1841"/>
      <c r="L2" s="1840"/>
      <c r="M2" s="1840"/>
    </row>
    <row r="3" spans="1:37" ht="18" customHeight="1" thickBot="1">
      <c r="A3" s="1849" t="s">
        <v>1518</v>
      </c>
      <c r="B3" s="1850">
        <f ca="1">IF(ISERROR(B2*10000/F43),0,ROUND(B2*10000/F43,0))</f>
        <v>15398</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1040</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1040</v>
      </c>
      <c r="D6" s="164" t="s">
        <v>3028</v>
      </c>
      <c r="E6" s="347" t="s">
        <v>1405</v>
      </c>
      <c r="F6" s="348">
        <f ca="1">INDIRECT("'数据-取费表'!u"&amp;$G$1)</f>
        <v>2</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3002" t="s">
        <v>1406</v>
      </c>
      <c r="F7" s="348">
        <f ca="1">IF(INDIRECT("'数据-取费表'!ah"&amp;$G$1)="",INDIRECT("'数据-取费表'!k"&amp;$G$1),INDIRECT("'数据-取费表'!ah"&amp;$G$1))</f>
        <v>14993.36</v>
      </c>
      <c r="G7" s="1851"/>
      <c r="H7" s="349"/>
      <c r="I7" s="3399"/>
      <c r="J7" s="351"/>
      <c r="K7" s="352"/>
      <c r="L7" s="347" t="s">
        <v>1406</v>
      </c>
      <c r="M7" s="348">
        <f ca="1">F7</f>
        <v>14993.36</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0.05</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3024</v>
      </c>
      <c r="E10" s="358" t="s">
        <v>1411</v>
      </c>
      <c r="F10" s="1366"/>
      <c r="G10" s="1851"/>
      <c r="H10" s="1291" t="s">
        <v>1039</v>
      </c>
      <c r="I10" s="1823" t="s">
        <v>1409</v>
      </c>
      <c r="J10" s="346">
        <f ca="1">ROUND(IF(M10="押一",M6*M8*M7/12*M11,IF(M10="押二",M6*M8*M7/12*2*M11,IF(M10="押三",M6*M8*M7/12*3*M11,J11*M11)))/10000,0)</f>
        <v>0</v>
      </c>
      <c r="K10" s="1824" t="s">
        <v>3024</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3369</v>
      </c>
      <c r="D14" s="3005" t="s">
        <v>1419</v>
      </c>
      <c r="E14" s="3004"/>
      <c r="F14" s="364"/>
      <c r="G14" s="1851"/>
      <c r="H14" s="1201" t="s">
        <v>1035</v>
      </c>
      <c r="I14" s="347" t="s">
        <v>1420</v>
      </c>
      <c r="J14" s="24">
        <f ca="1">C29</f>
        <v>4955</v>
      </c>
      <c r="K14" s="3001"/>
      <c r="L14" s="979"/>
      <c r="M14" s="980"/>
    </row>
    <row r="15" spans="1:37" s="1858" customFormat="1" ht="18" customHeight="1" thickBot="1">
      <c r="A15" s="1201" t="s">
        <v>1036</v>
      </c>
      <c r="B15" s="347" t="s">
        <v>1421</v>
      </c>
      <c r="C15" s="24">
        <f ca="1">ROUND(C14*F15,0)</f>
        <v>101</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117</v>
      </c>
      <c r="K16" s="1337" t="s">
        <v>1426</v>
      </c>
      <c r="L16" s="3007"/>
      <c r="M16" s="1294"/>
    </row>
    <row r="17" spans="1:37" s="1858" customFormat="1" ht="18" customHeight="1">
      <c r="A17" s="1201" t="s">
        <v>1390</v>
      </c>
      <c r="B17" s="347" t="s">
        <v>1427</v>
      </c>
      <c r="C17" s="24">
        <f ca="1">ROUND(F17*(F43+INDIRECT("'数据-取费表'!S"&amp;$G$1))/10000,0)</f>
        <v>308</v>
      </c>
      <c r="D17" s="347" t="s">
        <v>1428</v>
      </c>
      <c r="E17" s="347" t="s">
        <v>1429</v>
      </c>
      <c r="F17" s="26">
        <f>'数据-取费表'!B35</f>
        <v>200</v>
      </c>
      <c r="G17" s="1854"/>
      <c r="H17" s="1201" t="s">
        <v>1035</v>
      </c>
      <c r="I17" s="347" t="s">
        <v>1430</v>
      </c>
      <c r="J17" s="24">
        <f ca="1">ROUND(IF(项目基本情况!B11="自然人",J5*M17,J18+J19+J20),1)</f>
        <v>42.2</v>
      </c>
      <c r="K17" s="3005" t="s">
        <v>1431</v>
      </c>
      <c r="L17" s="3006"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51</v>
      </c>
      <c r="D18" s="347" t="s">
        <v>1422</v>
      </c>
      <c r="E18" s="347" t="s">
        <v>1423</v>
      </c>
      <c r="F18" s="367">
        <f>'数据-取费表'!B36</f>
        <v>1.4999999999999999E-2</v>
      </c>
      <c r="G18" s="1854"/>
      <c r="H18" s="1201" t="s">
        <v>1034</v>
      </c>
      <c r="I18" s="347" t="s">
        <v>1434</v>
      </c>
      <c r="J18" s="24">
        <f ca="1">ROUND(J5*M18/(1+'数据-取费表'!C42),2)</f>
        <v>0</v>
      </c>
      <c r="K18" s="3006"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3829</v>
      </c>
      <c r="D19" s="140" t="s">
        <v>1437</v>
      </c>
      <c r="E19" s="3000"/>
      <c r="F19" s="26"/>
      <c r="G19" s="1851"/>
      <c r="H19" s="1201" t="s">
        <v>1036</v>
      </c>
      <c r="I19" s="347" t="s">
        <v>1438</v>
      </c>
      <c r="J19" s="24">
        <f ca="1">IF(K19="按租金收入计税",ROUND(J5*M19,2),ROUND(C29*M19*0.7,2))</f>
        <v>41.62</v>
      </c>
      <c r="K19" s="1828" t="s">
        <v>1439</v>
      </c>
      <c r="L19" s="347" t="s">
        <v>1423</v>
      </c>
      <c r="M19" s="367">
        <f>IF(K19="按租金收入计税",'数据-取费表'!B51,'数据-取费表'!B50)</f>
        <v>1.2E-2</v>
      </c>
    </row>
    <row r="20" spans="1:37" s="1858" customFormat="1" ht="18" customHeight="1">
      <c r="A20" s="1201" t="s">
        <v>1039</v>
      </c>
      <c r="B20" s="347" t="s">
        <v>1440</v>
      </c>
      <c r="C20" s="24">
        <f ca="1">ROUND(C19*F20,0)</f>
        <v>77</v>
      </c>
      <c r="D20" s="369" t="s">
        <v>1441</v>
      </c>
      <c r="E20" s="347" t="s">
        <v>1423</v>
      </c>
      <c r="F20" s="367">
        <f>'数据-取费表'!B37</f>
        <v>0.02</v>
      </c>
      <c r="G20" s="1854"/>
      <c r="H20" s="1201" t="s">
        <v>1389</v>
      </c>
      <c r="I20" s="164" t="s">
        <v>1442</v>
      </c>
      <c r="J20" s="25">
        <f ca="1">ROUND(M20*M21/10000,2)</f>
        <v>0.61</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4081.64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3000"/>
      <c r="F22" s="26"/>
      <c r="G22" s="1851"/>
      <c r="H22" s="1201" t="s">
        <v>1039</v>
      </c>
      <c r="I22" s="347" t="s">
        <v>1450</v>
      </c>
      <c r="J22" s="24">
        <f ca="1">ROUND(J14*M22,1)</f>
        <v>74.3</v>
      </c>
      <c r="K22" s="3006"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282</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3006"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1392</v>
      </c>
      <c r="I24" s="1340" t="s">
        <v>1440</v>
      </c>
      <c r="J24" s="1341">
        <f ca="1">ROUND(J5*M24,1)</f>
        <v>0</v>
      </c>
      <c r="K24" s="1342" t="s">
        <v>1460</v>
      </c>
      <c r="L24" s="1340" t="s">
        <v>1423</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3000"/>
      <c r="F25" s="26"/>
      <c r="G25" s="1851"/>
      <c r="H25" s="1329" t="s">
        <v>1031</v>
      </c>
      <c r="I25" s="1344" t="s">
        <v>1464</v>
      </c>
      <c r="J25" s="355">
        <f ca="1">J5-J16</f>
        <v>-117</v>
      </c>
      <c r="K25" s="1345" t="s">
        <v>1465</v>
      </c>
      <c r="L25" s="1346"/>
      <c r="M25" s="1347"/>
    </row>
    <row r="26" spans="1:37">
      <c r="A26" s="1201" t="s">
        <v>1034</v>
      </c>
      <c r="B26" s="347" t="s">
        <v>1466</v>
      </c>
      <c r="C26" s="24">
        <f ca="1">ROUND((C19+C20)*F26,0)</f>
        <v>391</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4955</v>
      </c>
      <c r="D29" s="1342"/>
      <c r="E29" s="1340"/>
      <c r="F29" s="1343"/>
      <c r="G29" s="1854"/>
      <c r="H29" s="380" t="s">
        <v>1033</v>
      </c>
      <c r="I29" s="381" t="s">
        <v>1480</v>
      </c>
      <c r="J29" s="382">
        <f ca="1">ROUND(J26/(1+F40)^F41,0)</f>
        <v>0</v>
      </c>
      <c r="K29" s="383" t="s">
        <v>1481</v>
      </c>
      <c r="L29" s="384"/>
      <c r="M29" s="385">
        <f ca="1">INDIRECT("'数据-取费表'!k"&amp;$G$1)</f>
        <v>14993.36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187</v>
      </c>
      <c r="D30" s="1337" t="s">
        <v>1426</v>
      </c>
      <c r="E30" s="3007"/>
      <c r="F30" s="1294"/>
      <c r="G30" s="1851"/>
      <c r="H30" s="745"/>
      <c r="I30" s="746"/>
      <c r="J30" s="747"/>
      <c r="K30" s="748"/>
      <c r="L30" s="749"/>
      <c r="M30" s="750"/>
    </row>
    <row r="31" spans="1:37" ht="18" customHeight="1">
      <c r="A31" s="1201" t="s">
        <v>1035</v>
      </c>
      <c r="B31" s="347" t="s">
        <v>1430</v>
      </c>
      <c r="C31" s="24">
        <f ca="1">ROUND(IF(项目基本情况!B11="自然人",C5*F31,C32+C33+C34),1)</f>
        <v>96.7</v>
      </c>
      <c r="D31" s="3005" t="s">
        <v>1431</v>
      </c>
      <c r="E31" s="3006"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54.48</v>
      </c>
      <c r="D32" s="3006"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41.62</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0.61</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4081.64</v>
      </c>
      <c r="G35" s="1851"/>
      <c r="H35" s="745"/>
      <c r="I35" s="1860"/>
      <c r="J35" s="1861"/>
      <c r="K35" s="1862"/>
      <c r="L35" s="1859"/>
      <c r="M35" s="1859"/>
    </row>
    <row r="36" spans="1:18" ht="18" customHeight="1">
      <c r="A36" s="1352" t="s">
        <v>1039</v>
      </c>
      <c r="B36" s="347" t="s">
        <v>1450</v>
      </c>
      <c r="C36" s="24">
        <f ca="1">ROUND(C29*F36,1)</f>
        <v>74.3</v>
      </c>
      <c r="D36" s="3006"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3006" t="s">
        <v>1455</v>
      </c>
      <c r="E37" s="347" t="s">
        <v>1423</v>
      </c>
      <c r="F37" s="376">
        <f ca="1">INDIRECT("'数据-取费表'!Al"&amp;$G$1)</f>
        <v>1.5E-3</v>
      </c>
      <c r="G37" s="1851"/>
      <c r="H37" s="1859"/>
      <c r="I37" s="1860"/>
      <c r="J37" s="1861"/>
      <c r="K37" s="751"/>
      <c r="L37" s="1859"/>
      <c r="M37" s="1859"/>
    </row>
    <row r="38" spans="1:18" ht="18" customHeight="1" thickBot="1">
      <c r="A38" s="1339" t="s">
        <v>1392</v>
      </c>
      <c r="B38" s="1340" t="s">
        <v>1440</v>
      </c>
      <c r="C38" s="1341">
        <f ca="1">ROUND(C5*F38,1)</f>
        <v>15.6</v>
      </c>
      <c r="D38" s="1342" t="s">
        <v>1460</v>
      </c>
      <c r="E38" s="1340" t="s">
        <v>1423</v>
      </c>
      <c r="F38" s="1336">
        <f ca="1">INDIRECT("'数据-取费表'!Am"&amp;$G$1)</f>
        <v>1.4999999999999999E-2</v>
      </c>
      <c r="G38" s="1851"/>
      <c r="H38" s="1859"/>
      <c r="I38" s="1860"/>
      <c r="J38" s="1861"/>
      <c r="K38" s="1865"/>
      <c r="L38" s="1859"/>
      <c r="M38" s="1859"/>
    </row>
    <row r="39" spans="1:18" ht="24.6" customHeight="1" thickTop="1">
      <c r="A39" s="1329" t="s">
        <v>1031</v>
      </c>
      <c r="B39" s="1344" t="s">
        <v>1464</v>
      </c>
      <c r="C39" s="355">
        <f ca="1">C5-C30</f>
        <v>853</v>
      </c>
      <c r="D39" s="1345" t="s">
        <v>1465</v>
      </c>
      <c r="E39" s="1346"/>
      <c r="F39" s="1347"/>
      <c r="G39" s="1851"/>
      <c r="H39" s="1859"/>
      <c r="I39" s="1860"/>
      <c r="J39" s="1861"/>
      <c r="K39" s="1865"/>
      <c r="L39" s="1859"/>
      <c r="M39" s="1859"/>
    </row>
    <row r="40" spans="1:18" ht="18" customHeight="1">
      <c r="A40" s="344" t="s">
        <v>1032</v>
      </c>
      <c r="B40" s="345" t="s">
        <v>1486</v>
      </c>
      <c r="C40" s="346">
        <f ca="1">ROUND(C39*(1-((1+F42)/(1+F40))^F41)/(F40-F42),0)</f>
        <v>23087</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15398</v>
      </c>
      <c r="D43" s="383" t="s">
        <v>1489</v>
      </c>
      <c r="E43" s="384" t="s">
        <v>1490</v>
      </c>
      <c r="F43" s="385">
        <f ca="1">INDIRECT("'数据-取费表'!k"&amp;$G$1)</f>
        <v>14993.36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-25189</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23087</v>
      </c>
      <c r="R47" s="1886" t="s">
        <v>1530</v>
      </c>
    </row>
    <row r="48" spans="1:18" s="1842" customFormat="1" ht="28.5" thickBot="1">
      <c r="A48" s="1360" t="s">
        <v>1135</v>
      </c>
      <c r="B48" s="345" t="s">
        <v>1401</v>
      </c>
      <c r="C48" s="2999">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3027</v>
      </c>
      <c r="E49" s="1830" t="s">
        <v>1492</v>
      </c>
      <c r="F49" s="1281"/>
      <c r="G49" s="1891"/>
      <c r="H49" s="793"/>
      <c r="I49" s="1887" t="s">
        <v>1535</v>
      </c>
      <c r="J49" s="1892">
        <v>2018</v>
      </c>
      <c r="K49" s="1889" t="s">
        <v>1536</v>
      </c>
      <c r="L49" s="1893"/>
      <c r="O49" s="1894" t="s">
        <v>1042</v>
      </c>
      <c r="P49" s="1885" t="s">
        <v>1537</v>
      </c>
      <c r="Q49" s="1886">
        <f ca="1">C29</f>
        <v>4955</v>
      </c>
      <c r="R49" s="1886" t="s">
        <v>1530</v>
      </c>
    </row>
    <row r="50" spans="1:18" s="1842" customFormat="1" ht="13.5" thickBot="1">
      <c r="A50" s="1195"/>
      <c r="B50" s="1198"/>
      <c r="C50" s="1368"/>
      <c r="D50" s="1172"/>
      <c r="E50" s="1277" t="s">
        <v>1406</v>
      </c>
      <c r="F50" s="1278">
        <f ca="1">F7</f>
        <v>14993.36</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18073</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3024</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23087</v>
      </c>
      <c r="R53" s="1886" t="s">
        <v>1047</v>
      </c>
    </row>
    <row r="54" spans="1:18" s="1842" customFormat="1" ht="13.5" thickBot="1">
      <c r="A54" s="1406"/>
      <c r="B54" s="1825" t="s">
        <v>1388</v>
      </c>
      <c r="C54" s="1178"/>
      <c r="D54" s="1824"/>
      <c r="E54" s="300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3003"/>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23087</v>
      </c>
      <c r="R56" s="1886" t="s">
        <v>1530</v>
      </c>
    </row>
    <row r="57" spans="1:18" s="1842" customFormat="1" ht="24.75" thickBot="1">
      <c r="A57" s="1918"/>
      <c r="B57" s="1169" t="s">
        <v>1479</v>
      </c>
      <c r="C57" s="282">
        <f ca="1">C29</f>
        <v>4955</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117</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42.2</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1438</v>
      </c>
      <c r="C61" s="24">
        <f ca="1">IF(项目基本情况!B11="自然人","——",IF(D61="按租金收入计税",ROUND(C48*F61,2),IF(D61="按房产原值计税",ROUND(C57*F61*0.7,2),INDIRECT("'数据-取费表'!Aj"&amp;$G$1))))</f>
        <v>41.62</v>
      </c>
      <c r="D61" s="1828" t="s">
        <v>1439</v>
      </c>
      <c r="E61" s="1169" t="s">
        <v>1423</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1442</v>
      </c>
      <c r="C62" s="25">
        <f ca="1">IF(项目基本情况!B11="自然人","——",ROUND(F62*F63/10000,2))</f>
        <v>0.61</v>
      </c>
      <c r="D62" s="1184" t="s">
        <v>1443</v>
      </c>
      <c r="E62" s="1169" t="s">
        <v>1444</v>
      </c>
      <c r="F62" s="371">
        <f t="shared" si="0"/>
        <v>1.5</v>
      </c>
      <c r="I62" s="1929" t="s">
        <v>1571</v>
      </c>
      <c r="J62" s="1930" t="s">
        <v>1572</v>
      </c>
      <c r="K62" s="1930" t="s">
        <v>1573</v>
      </c>
      <c r="L62" s="1930" t="s">
        <v>1574</v>
      </c>
      <c r="M62" s="1931" t="s">
        <v>1575</v>
      </c>
      <c r="O62" s="1884" t="s">
        <v>1046</v>
      </c>
      <c r="P62" s="1885" t="s">
        <v>1550</v>
      </c>
      <c r="Q62" s="1886">
        <f ca="1">Q56+Q57</f>
        <v>23087</v>
      </c>
      <c r="R62" s="1886" t="s">
        <v>1047</v>
      </c>
    </row>
    <row r="63" spans="1:18" s="1842" customFormat="1" ht="13.5" thickBot="1">
      <c r="A63" s="372"/>
      <c r="B63" s="1175"/>
      <c r="C63" s="29"/>
      <c r="D63" s="1185"/>
      <c r="E63" s="1169" t="s">
        <v>1448</v>
      </c>
      <c r="F63" s="348">
        <f t="shared" ca="1" si="0"/>
        <v>4081.64</v>
      </c>
      <c r="I63" s="1929" t="s">
        <v>1577</v>
      </c>
      <c r="J63" s="1930">
        <v>70</v>
      </c>
      <c r="K63" s="1930">
        <v>50</v>
      </c>
      <c r="L63" s="1930">
        <v>80</v>
      </c>
      <c r="M63" s="1932">
        <v>0.02</v>
      </c>
      <c r="O63" s="1869" t="s">
        <v>1578</v>
      </c>
      <c r="P63" s="1839"/>
      <c r="Q63" s="1839"/>
      <c r="R63" s="1839"/>
    </row>
    <row r="64" spans="1:18" s="1842" customFormat="1" ht="13.5" thickBot="1">
      <c r="A64" s="1201" t="s">
        <v>1039</v>
      </c>
      <c r="B64" s="1169" t="s">
        <v>1450</v>
      </c>
      <c r="C64" s="24">
        <f ca="1">ROUND(C57*F64,1)</f>
        <v>74.3</v>
      </c>
      <c r="D64" s="1183" t="s">
        <v>1483</v>
      </c>
      <c r="E64" s="1169"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1423</v>
      </c>
      <c r="F65" s="376">
        <f t="shared" ca="1" si="0"/>
        <v>1.5E-3</v>
      </c>
      <c r="I65" s="1929" t="s">
        <v>1580</v>
      </c>
      <c r="J65" s="1930">
        <v>40</v>
      </c>
      <c r="K65" s="1930">
        <v>30</v>
      </c>
      <c r="L65" s="1930">
        <v>50</v>
      </c>
      <c r="M65" s="1932">
        <v>0.02</v>
      </c>
      <c r="O65" s="1884" t="s">
        <v>1040</v>
      </c>
      <c r="P65" s="1885" t="s">
        <v>1529</v>
      </c>
      <c r="Q65" s="1886">
        <f ca="1">C40+J29</f>
        <v>23087</v>
      </c>
      <c r="R65" s="1886" t="s">
        <v>1530</v>
      </c>
    </row>
    <row r="66" spans="1:18" s="1842" customFormat="1" ht="16.5" thickBot="1">
      <c r="A66" s="1201" t="s">
        <v>1505</v>
      </c>
      <c r="B66" s="1169" t="s">
        <v>1440</v>
      </c>
      <c r="C66" s="24">
        <f ca="1">ROUND(C48*F66,1)</f>
        <v>0</v>
      </c>
      <c r="D66" s="1183" t="s">
        <v>1460</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-117</v>
      </c>
      <c r="D67" s="1182" t="s">
        <v>1465</v>
      </c>
      <c r="E67" s="1187"/>
      <c r="F67" s="1188"/>
      <c r="O67" s="1894" t="s">
        <v>1042</v>
      </c>
      <c r="P67" s="1885" t="s">
        <v>1563</v>
      </c>
      <c r="Q67" s="1933">
        <f ca="1">L51</f>
        <v>18073</v>
      </c>
      <c r="R67" s="1886" t="s">
        <v>1583</v>
      </c>
    </row>
    <row r="68" spans="1:18" s="1842" customFormat="1" ht="16.5" thickBot="1">
      <c r="A68" s="1166" t="s">
        <v>1032</v>
      </c>
      <c r="B68" s="1167" t="s">
        <v>1486</v>
      </c>
      <c r="C68" s="346">
        <f ca="1">ROUND(C67*(1-((1+F70)/(1+F68))^F69)/(F68-F70),0)</f>
        <v>-2102</v>
      </c>
      <c r="D68" s="1184" t="s">
        <v>1470</v>
      </c>
      <c r="E68" s="1169" t="s">
        <v>1471</v>
      </c>
      <c r="F68" s="357">
        <f ca="1">F40</f>
        <v>0.05</v>
      </c>
      <c r="O68" s="1894" t="s">
        <v>1043</v>
      </c>
      <c r="P68" s="1934" t="s">
        <v>1584</v>
      </c>
      <c r="Q68" s="1886">
        <f ca="1">ROUND(Q69-Q70*Q71,0)</f>
        <v>853</v>
      </c>
      <c r="R68" s="1886" t="s">
        <v>1051</v>
      </c>
    </row>
    <row r="69" spans="1:18" s="1842" customFormat="1" ht="13.5" thickBot="1">
      <c r="A69" s="1170"/>
      <c r="B69" s="1171"/>
      <c r="C69" s="351"/>
      <c r="D69" s="1189" t="s">
        <v>1474</v>
      </c>
      <c r="E69" s="1169" t="s">
        <v>1475</v>
      </c>
      <c r="F69" s="379">
        <f ca="1">F41</f>
        <v>46.85</v>
      </c>
      <c r="O69" s="1894" t="s">
        <v>1048</v>
      </c>
      <c r="P69" s="1934" t="s">
        <v>1585</v>
      </c>
      <c r="Q69" s="1886">
        <f ca="1">C39</f>
        <v>853</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-1402</v>
      </c>
      <c r="D71" s="1192" t="s">
        <v>1489</v>
      </c>
      <c r="E71" s="1193" t="s">
        <v>1490</v>
      </c>
      <c r="F71" s="385">
        <f ca="1">F43</f>
        <v>14993.36</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23087</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3393</v>
      </c>
      <c r="D1" s="1820" t="s">
        <v>3168</v>
      </c>
      <c r="E1" s="1821" t="s">
        <v>1387</v>
      </c>
      <c r="F1" s="1283">
        <f ca="1">J53</f>
        <v>46.85</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58218</v>
      </c>
      <c r="C2" s="1845" t="s">
        <v>1517</v>
      </c>
      <c r="D2" s="1845"/>
      <c r="E2" s="1846"/>
      <c r="F2" s="1847"/>
      <c r="G2" s="1848"/>
      <c r="H2" s="1840"/>
      <c r="I2" s="1840"/>
      <c r="J2" s="1840"/>
      <c r="K2" s="1841"/>
      <c r="L2" s="1840"/>
      <c r="M2" s="1840"/>
    </row>
    <row r="3" spans="1:37" ht="18" customHeight="1" thickBot="1">
      <c r="A3" s="1849" t="s">
        <v>1518</v>
      </c>
      <c r="B3" s="1850">
        <f ca="1">IF(ISERROR(B2*10000/F43),0,ROUND(B2*10000/F43,0))</f>
        <v>19774</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2552</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2552</v>
      </c>
      <c r="D6" s="164" t="s">
        <v>3028</v>
      </c>
      <c r="E6" s="347" t="s">
        <v>1405</v>
      </c>
      <c r="F6" s="348">
        <f ca="1">INDIRECT("'数据-取费表'!u"&amp;$G$1)</f>
        <v>2.5</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3090" t="s">
        <v>1406</v>
      </c>
      <c r="F7" s="348">
        <f ca="1">IF(INDIRECT("'数据-取费表'!ah"&amp;$G$1)="",INDIRECT("'数据-取费表'!k"&amp;$G$1),INDIRECT("'数据-取费表'!ah"&amp;$G$1))</f>
        <v>29441.34</v>
      </c>
      <c r="G7" s="1851"/>
      <c r="H7" s="349"/>
      <c r="I7" s="3399"/>
      <c r="J7" s="351"/>
      <c r="K7" s="352"/>
      <c r="L7" s="347" t="s">
        <v>1406</v>
      </c>
      <c r="M7" s="348">
        <f ca="1">F7</f>
        <v>29441.34</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0.05</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3024</v>
      </c>
      <c r="E10" s="358" t="s">
        <v>1411</v>
      </c>
      <c r="F10" s="1366"/>
      <c r="G10" s="1851"/>
      <c r="H10" s="1291" t="s">
        <v>1039</v>
      </c>
      <c r="I10" s="1823" t="s">
        <v>1409</v>
      </c>
      <c r="J10" s="346">
        <f ca="1">ROUND(IF(M10="押一",M6*M8*M7/12*M11,IF(M10="押二",M6*M8*M7/12*2*M11,IF(M10="押三",M6*M8*M7/12*3*M11,J11*M11)))/10000,0)</f>
        <v>0</v>
      </c>
      <c r="K10" s="1824" t="s">
        <v>3024</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6615</v>
      </c>
      <c r="D14" s="3093" t="s">
        <v>1419</v>
      </c>
      <c r="E14" s="3092"/>
      <c r="F14" s="364"/>
      <c r="G14" s="1851"/>
      <c r="H14" s="1201" t="s">
        <v>1035</v>
      </c>
      <c r="I14" s="347" t="s">
        <v>1420</v>
      </c>
      <c r="J14" s="24">
        <f ca="1">C29</f>
        <v>9723</v>
      </c>
      <c r="K14" s="3089"/>
      <c r="L14" s="979"/>
      <c r="M14" s="980"/>
    </row>
    <row r="15" spans="1:37" s="1858" customFormat="1" ht="18" customHeight="1" thickBot="1">
      <c r="A15" s="1201" t="s">
        <v>1036</v>
      </c>
      <c r="B15" s="347" t="s">
        <v>1421</v>
      </c>
      <c r="C15" s="24">
        <f ca="1">ROUND(C14*F15,0)</f>
        <v>198</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229</v>
      </c>
      <c r="K16" s="1337" t="s">
        <v>1426</v>
      </c>
      <c r="L16" s="3095"/>
      <c r="M16" s="1294"/>
    </row>
    <row r="17" spans="1:37" s="1858" customFormat="1" ht="18" customHeight="1">
      <c r="A17" s="1201" t="s">
        <v>1390</v>
      </c>
      <c r="B17" s="347" t="s">
        <v>1427</v>
      </c>
      <c r="C17" s="24">
        <f ca="1">ROUND(F17*(F43+INDIRECT("'数据-取费表'!S"&amp;$G$1))/10000,0)</f>
        <v>604</v>
      </c>
      <c r="D17" s="347" t="s">
        <v>1428</v>
      </c>
      <c r="E17" s="347" t="s">
        <v>1429</v>
      </c>
      <c r="F17" s="26">
        <f>'数据-取费表'!B35</f>
        <v>200</v>
      </c>
      <c r="G17" s="1854"/>
      <c r="H17" s="1201" t="s">
        <v>1035</v>
      </c>
      <c r="I17" s="347" t="s">
        <v>1430</v>
      </c>
      <c r="J17" s="24">
        <f ca="1">ROUND(IF(项目基本情况!B11="自然人",J5*M17,J18+J19+J20),1)</f>
        <v>82.9</v>
      </c>
      <c r="K17" s="3093" t="s">
        <v>1431</v>
      </c>
      <c r="L17" s="3094"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99</v>
      </c>
      <c r="D18" s="347" t="s">
        <v>1422</v>
      </c>
      <c r="E18" s="347" t="s">
        <v>1423</v>
      </c>
      <c r="F18" s="367">
        <f>'数据-取费表'!B36</f>
        <v>1.4999999999999999E-2</v>
      </c>
      <c r="G18" s="1854"/>
      <c r="H18" s="1201" t="s">
        <v>1034</v>
      </c>
      <c r="I18" s="347" t="s">
        <v>1434</v>
      </c>
      <c r="J18" s="24">
        <f ca="1">ROUND(J5*M18/(1+'数据-取费表'!C42),2)</f>
        <v>0</v>
      </c>
      <c r="K18" s="3094"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7516</v>
      </c>
      <c r="D19" s="140" t="s">
        <v>1437</v>
      </c>
      <c r="E19" s="3088"/>
      <c r="F19" s="26"/>
      <c r="G19" s="1851"/>
      <c r="H19" s="1201" t="s">
        <v>1036</v>
      </c>
      <c r="I19" s="347" t="s">
        <v>1438</v>
      </c>
      <c r="J19" s="24">
        <f ca="1">IF(K19="按租金收入计税",ROUND(J5*M19,2),ROUND(C29*M19*0.7,2))</f>
        <v>81.67</v>
      </c>
      <c r="K19" s="1828" t="s">
        <v>1439</v>
      </c>
      <c r="L19" s="347" t="s">
        <v>1423</v>
      </c>
      <c r="M19" s="367">
        <f>IF(K19="按租金收入计税",'数据-取费表'!B51,'数据-取费表'!B50)</f>
        <v>1.2E-2</v>
      </c>
    </row>
    <row r="20" spans="1:37" s="1858" customFormat="1" ht="18" customHeight="1">
      <c r="A20" s="1201" t="s">
        <v>1039</v>
      </c>
      <c r="B20" s="347" t="s">
        <v>1440</v>
      </c>
      <c r="C20" s="24">
        <f ca="1">ROUND(C19*F20,0)</f>
        <v>150</v>
      </c>
      <c r="D20" s="369" t="s">
        <v>1441</v>
      </c>
      <c r="E20" s="347" t="s">
        <v>1423</v>
      </c>
      <c r="F20" s="367">
        <f>'数据-取费表'!B37</f>
        <v>0.02</v>
      </c>
      <c r="G20" s="1854"/>
      <c r="H20" s="1201" t="s">
        <v>1389</v>
      </c>
      <c r="I20" s="164" t="s">
        <v>1442</v>
      </c>
      <c r="J20" s="25">
        <f ca="1">ROUND(M20*M21/10000,2)</f>
        <v>1.2</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8014.83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3088"/>
      <c r="F22" s="26"/>
      <c r="G22" s="1851"/>
      <c r="H22" s="1201" t="s">
        <v>1039</v>
      </c>
      <c r="I22" s="347" t="s">
        <v>1450</v>
      </c>
      <c r="J22" s="24">
        <f ca="1">ROUND(J14*M22,1)</f>
        <v>145.80000000000001</v>
      </c>
      <c r="K22" s="3094"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553</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3094"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1392</v>
      </c>
      <c r="I24" s="1340" t="s">
        <v>1440</v>
      </c>
      <c r="J24" s="1341">
        <f ca="1">ROUND(J5*M24,1)</f>
        <v>0</v>
      </c>
      <c r="K24" s="1342" t="s">
        <v>1460</v>
      </c>
      <c r="L24" s="1340" t="s">
        <v>1423</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3088"/>
      <c r="F25" s="26"/>
      <c r="G25" s="1851"/>
      <c r="H25" s="1329" t="s">
        <v>1031</v>
      </c>
      <c r="I25" s="1344" t="s">
        <v>1464</v>
      </c>
      <c r="J25" s="355">
        <f ca="1">J5-J16</f>
        <v>-229</v>
      </c>
      <c r="K25" s="1345" t="s">
        <v>1465</v>
      </c>
      <c r="L25" s="1346"/>
      <c r="M25" s="1347"/>
    </row>
    <row r="26" spans="1:37">
      <c r="A26" s="1201" t="s">
        <v>1034</v>
      </c>
      <c r="B26" s="347" t="s">
        <v>1466</v>
      </c>
      <c r="C26" s="24">
        <f ca="1">ROUND((C19+C20)*F26,0)</f>
        <v>767</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9723</v>
      </c>
      <c r="D29" s="1342"/>
      <c r="E29" s="1340"/>
      <c r="F29" s="1343"/>
      <c r="G29" s="1854"/>
      <c r="H29" s="380" t="s">
        <v>1033</v>
      </c>
      <c r="I29" s="381" t="s">
        <v>1480</v>
      </c>
      <c r="J29" s="382">
        <f ca="1">ROUND(J26/(1+F40)^F41,0)</f>
        <v>0</v>
      </c>
      <c r="K29" s="383" t="s">
        <v>1481</v>
      </c>
      <c r="L29" s="384"/>
      <c r="M29" s="385">
        <f ca="1">INDIRECT("'数据-取费表'!k"&amp;$G$1)</f>
        <v>29441.34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401</v>
      </c>
      <c r="D30" s="1337" t="s">
        <v>1426</v>
      </c>
      <c r="E30" s="3095"/>
      <c r="F30" s="1294"/>
      <c r="G30" s="1851"/>
      <c r="H30" s="745"/>
      <c r="I30" s="746"/>
      <c r="J30" s="747"/>
      <c r="K30" s="748"/>
      <c r="L30" s="749"/>
      <c r="M30" s="750"/>
    </row>
    <row r="31" spans="1:37" ht="18" customHeight="1">
      <c r="A31" s="1201" t="s">
        <v>1035</v>
      </c>
      <c r="B31" s="347" t="s">
        <v>1430</v>
      </c>
      <c r="C31" s="24">
        <f ca="1">ROUND(IF(项目基本情况!B11="自然人",C5*F31,C32+C33+C34),1)</f>
        <v>216.6</v>
      </c>
      <c r="D31" s="3093" t="s">
        <v>1431</v>
      </c>
      <c r="E31" s="3094"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133.68</v>
      </c>
      <c r="D32" s="3094"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81.67</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1.2</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8014.83</v>
      </c>
      <c r="G35" s="1851"/>
      <c r="H35" s="745"/>
      <c r="I35" s="1860"/>
      <c r="J35" s="1861"/>
      <c r="K35" s="1862"/>
      <c r="L35" s="1859"/>
      <c r="M35" s="1859"/>
    </row>
    <row r="36" spans="1:18" ht="18" customHeight="1">
      <c r="A36" s="1352" t="s">
        <v>1039</v>
      </c>
      <c r="B36" s="347" t="s">
        <v>1450</v>
      </c>
      <c r="C36" s="24">
        <f ca="1">ROUND(C29*F36,1)</f>
        <v>145.80000000000001</v>
      </c>
      <c r="D36" s="3094"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3094" t="s">
        <v>1455</v>
      </c>
      <c r="E37" s="347" t="s">
        <v>1423</v>
      </c>
      <c r="F37" s="376">
        <f ca="1">INDIRECT("'数据-取费表'!Al"&amp;$G$1)</f>
        <v>1.5E-3</v>
      </c>
      <c r="G37" s="1851"/>
      <c r="H37" s="1859"/>
      <c r="I37" s="1860"/>
      <c r="J37" s="1861"/>
      <c r="K37" s="751"/>
      <c r="L37" s="1859"/>
      <c r="M37" s="1859"/>
    </row>
    <row r="38" spans="1:18" ht="18" customHeight="1" thickBot="1">
      <c r="A38" s="1339" t="s">
        <v>1392</v>
      </c>
      <c r="B38" s="1340" t="s">
        <v>1440</v>
      </c>
      <c r="C38" s="1341">
        <f ca="1">ROUND(C5*F38,1)</f>
        <v>38.299999999999997</v>
      </c>
      <c r="D38" s="1342" t="s">
        <v>1460</v>
      </c>
      <c r="E38" s="1340" t="s">
        <v>1423</v>
      </c>
      <c r="F38" s="1336">
        <f ca="1">INDIRECT("'数据-取费表'!Am"&amp;$G$1)</f>
        <v>1.4999999999999999E-2</v>
      </c>
      <c r="G38" s="1851"/>
      <c r="H38" s="1859"/>
      <c r="I38" s="1860"/>
      <c r="J38" s="1861"/>
      <c r="K38" s="1865"/>
      <c r="L38" s="1859"/>
      <c r="M38" s="1859"/>
    </row>
    <row r="39" spans="1:18" ht="24.6" customHeight="1" thickTop="1">
      <c r="A39" s="1329" t="s">
        <v>1031</v>
      </c>
      <c r="B39" s="1344" t="s">
        <v>1464</v>
      </c>
      <c r="C39" s="355">
        <f ca="1">C5-C30</f>
        <v>2151</v>
      </c>
      <c r="D39" s="1345" t="s">
        <v>1465</v>
      </c>
      <c r="E39" s="1346"/>
      <c r="F39" s="1347"/>
      <c r="G39" s="1851"/>
      <c r="H39" s="1859"/>
      <c r="I39" s="1860"/>
      <c r="J39" s="1861"/>
      <c r="K39" s="1865"/>
      <c r="L39" s="1859"/>
      <c r="M39" s="1859"/>
    </row>
    <row r="40" spans="1:18" ht="18" customHeight="1">
      <c r="A40" s="344" t="s">
        <v>1032</v>
      </c>
      <c r="B40" s="345" t="s">
        <v>1486</v>
      </c>
      <c r="C40" s="346">
        <f ca="1">ROUND(C39*(1-((1+F42)/(1+F40))^F41)/(F40-F42),0)</f>
        <v>58218</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19774</v>
      </c>
      <c r="D43" s="383" t="s">
        <v>1489</v>
      </c>
      <c r="E43" s="384" t="s">
        <v>1490</v>
      </c>
      <c r="F43" s="385">
        <f ca="1">INDIRECT("'数据-取费表'!k"&amp;$G$1)</f>
        <v>29441.34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-62332</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58218</v>
      </c>
      <c r="R47" s="1886" t="s">
        <v>1530</v>
      </c>
    </row>
    <row r="48" spans="1:18" s="1842" customFormat="1" ht="28.5" thickBot="1">
      <c r="A48" s="1360" t="s">
        <v>1135</v>
      </c>
      <c r="B48" s="345" t="s">
        <v>1401</v>
      </c>
      <c r="C48" s="3087">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3027</v>
      </c>
      <c r="E49" s="1830" t="s">
        <v>1492</v>
      </c>
      <c r="F49" s="1281"/>
      <c r="G49" s="1891"/>
      <c r="H49" s="793"/>
      <c r="I49" s="1887" t="s">
        <v>1535</v>
      </c>
      <c r="J49" s="1892">
        <v>2018</v>
      </c>
      <c r="K49" s="1889" t="s">
        <v>1536</v>
      </c>
      <c r="L49" s="1893"/>
      <c r="O49" s="1894" t="s">
        <v>1042</v>
      </c>
      <c r="P49" s="1885" t="s">
        <v>1537</v>
      </c>
      <c r="Q49" s="1886">
        <f ca="1">C29</f>
        <v>9723</v>
      </c>
      <c r="R49" s="1886" t="s">
        <v>1530</v>
      </c>
    </row>
    <row r="50" spans="1:18" s="1842" customFormat="1" ht="13.5" thickBot="1">
      <c r="A50" s="1195"/>
      <c r="B50" s="1198"/>
      <c r="C50" s="1368"/>
      <c r="D50" s="1172"/>
      <c r="E50" s="1277" t="s">
        <v>1406</v>
      </c>
      <c r="F50" s="1278">
        <f ca="1">F7</f>
        <v>29441.34</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45575</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3024</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58218</v>
      </c>
      <c r="R53" s="1886" t="s">
        <v>1047</v>
      </c>
    </row>
    <row r="54" spans="1:18" s="1842" customFormat="1" ht="13.5" thickBot="1">
      <c r="A54" s="1406"/>
      <c r="B54" s="1825" t="s">
        <v>1388</v>
      </c>
      <c r="C54" s="1178"/>
      <c r="D54" s="1824"/>
      <c r="E54" s="3091"/>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3091"/>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58218</v>
      </c>
      <c r="R56" s="1886" t="s">
        <v>1530</v>
      </c>
    </row>
    <row r="57" spans="1:18" s="1842" customFormat="1" ht="24.75" thickBot="1">
      <c r="A57" s="1918"/>
      <c r="B57" s="1169" t="s">
        <v>1479</v>
      </c>
      <c r="C57" s="282">
        <f ca="1">C29</f>
        <v>9723</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229</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82.9</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1438</v>
      </c>
      <c r="C61" s="24">
        <f ca="1">IF(项目基本情况!B11="自然人","——",IF(D61="按租金收入计税",ROUND(C48*F61,2),IF(D61="按房产原值计税",ROUND(C57*F61*0.7,2),INDIRECT("'数据-取费表'!Aj"&amp;$G$1))))</f>
        <v>81.67</v>
      </c>
      <c r="D61" s="1828" t="s">
        <v>1439</v>
      </c>
      <c r="E61" s="1169" t="s">
        <v>1423</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1442</v>
      </c>
      <c r="C62" s="25">
        <f ca="1">IF(项目基本情况!B11="自然人","——",ROUND(F62*F63/10000,2))</f>
        <v>1.2</v>
      </c>
      <c r="D62" s="1184" t="s">
        <v>1443</v>
      </c>
      <c r="E62" s="1169" t="s">
        <v>1444</v>
      </c>
      <c r="F62" s="371">
        <f t="shared" si="0"/>
        <v>1.5</v>
      </c>
      <c r="I62" s="1929" t="s">
        <v>1571</v>
      </c>
      <c r="J62" s="1930" t="s">
        <v>1572</v>
      </c>
      <c r="K62" s="1930" t="s">
        <v>1573</v>
      </c>
      <c r="L62" s="1930" t="s">
        <v>1574</v>
      </c>
      <c r="M62" s="1931" t="s">
        <v>1575</v>
      </c>
      <c r="O62" s="1884" t="s">
        <v>1046</v>
      </c>
      <c r="P62" s="1885" t="s">
        <v>1550</v>
      </c>
      <c r="Q62" s="1886">
        <f ca="1">Q56+Q57</f>
        <v>58218</v>
      </c>
      <c r="R62" s="1886" t="s">
        <v>1047</v>
      </c>
    </row>
    <row r="63" spans="1:18" s="1842" customFormat="1" ht="13.5" thickBot="1">
      <c r="A63" s="372"/>
      <c r="B63" s="1175"/>
      <c r="C63" s="29"/>
      <c r="D63" s="1185"/>
      <c r="E63" s="1169" t="s">
        <v>1448</v>
      </c>
      <c r="F63" s="348">
        <f t="shared" ca="1" si="0"/>
        <v>8014.83</v>
      </c>
      <c r="I63" s="1929" t="s">
        <v>1577</v>
      </c>
      <c r="J63" s="1930">
        <v>70</v>
      </c>
      <c r="K63" s="1930">
        <v>50</v>
      </c>
      <c r="L63" s="1930">
        <v>80</v>
      </c>
      <c r="M63" s="1932">
        <v>0.02</v>
      </c>
      <c r="O63" s="1869" t="s">
        <v>1578</v>
      </c>
      <c r="P63" s="1839"/>
      <c r="Q63" s="1839"/>
      <c r="R63" s="1839"/>
    </row>
    <row r="64" spans="1:18" s="1842" customFormat="1" ht="13.5" thickBot="1">
      <c r="A64" s="1201" t="s">
        <v>1039</v>
      </c>
      <c r="B64" s="1169" t="s">
        <v>1450</v>
      </c>
      <c r="C64" s="24">
        <f ca="1">ROUND(C57*F64,1)</f>
        <v>145.80000000000001</v>
      </c>
      <c r="D64" s="1183" t="s">
        <v>1483</v>
      </c>
      <c r="E64" s="1169"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1423</v>
      </c>
      <c r="F65" s="376">
        <f t="shared" ca="1" si="0"/>
        <v>1.5E-3</v>
      </c>
      <c r="I65" s="1929" t="s">
        <v>1580</v>
      </c>
      <c r="J65" s="1930">
        <v>40</v>
      </c>
      <c r="K65" s="1930">
        <v>30</v>
      </c>
      <c r="L65" s="1930">
        <v>50</v>
      </c>
      <c r="M65" s="1932">
        <v>0.02</v>
      </c>
      <c r="O65" s="1884" t="s">
        <v>1040</v>
      </c>
      <c r="P65" s="1885" t="s">
        <v>1529</v>
      </c>
      <c r="Q65" s="1886">
        <f ca="1">C40+J29</f>
        <v>58218</v>
      </c>
      <c r="R65" s="1886" t="s">
        <v>1530</v>
      </c>
    </row>
    <row r="66" spans="1:18" s="1842" customFormat="1" ht="16.5" thickBot="1">
      <c r="A66" s="1201" t="s">
        <v>1505</v>
      </c>
      <c r="B66" s="1169" t="s">
        <v>1440</v>
      </c>
      <c r="C66" s="24">
        <f ca="1">ROUND(C48*F66,1)</f>
        <v>0</v>
      </c>
      <c r="D66" s="1183" t="s">
        <v>1460</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-229</v>
      </c>
      <c r="D67" s="1182" t="s">
        <v>1465</v>
      </c>
      <c r="E67" s="1187"/>
      <c r="F67" s="1188"/>
      <c r="O67" s="1894" t="s">
        <v>1042</v>
      </c>
      <c r="P67" s="1885" t="s">
        <v>1563</v>
      </c>
      <c r="Q67" s="1933">
        <f ca="1">L51</f>
        <v>45575</v>
      </c>
      <c r="R67" s="1886" t="s">
        <v>1583</v>
      </c>
    </row>
    <row r="68" spans="1:18" s="1842" customFormat="1" ht="16.5" thickBot="1">
      <c r="A68" s="1166" t="s">
        <v>1032</v>
      </c>
      <c r="B68" s="1167" t="s">
        <v>1486</v>
      </c>
      <c r="C68" s="346">
        <f ca="1">ROUND(C67*(1-((1+F70)/(1+F68))^F69)/(F68-F70),0)</f>
        <v>-4114</v>
      </c>
      <c r="D68" s="1184" t="s">
        <v>1470</v>
      </c>
      <c r="E68" s="1169" t="s">
        <v>1471</v>
      </c>
      <c r="F68" s="357">
        <f ca="1">F40</f>
        <v>0.05</v>
      </c>
      <c r="O68" s="1894" t="s">
        <v>1043</v>
      </c>
      <c r="P68" s="1934" t="s">
        <v>1584</v>
      </c>
      <c r="Q68" s="1886">
        <f ca="1">ROUND(Q69-Q70*Q71,0)</f>
        <v>2151</v>
      </c>
      <c r="R68" s="1886" t="s">
        <v>1051</v>
      </c>
    </row>
    <row r="69" spans="1:18" s="1842" customFormat="1" ht="13.5" thickBot="1">
      <c r="A69" s="1170"/>
      <c r="B69" s="1171"/>
      <c r="C69" s="351"/>
      <c r="D69" s="1189" t="s">
        <v>1474</v>
      </c>
      <c r="E69" s="1169" t="s">
        <v>1475</v>
      </c>
      <c r="F69" s="379">
        <f ca="1">F41</f>
        <v>46.85</v>
      </c>
      <c r="O69" s="1894" t="s">
        <v>1048</v>
      </c>
      <c r="P69" s="1934" t="s">
        <v>1585</v>
      </c>
      <c r="Q69" s="1886">
        <f ca="1">C39</f>
        <v>2151</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-1397</v>
      </c>
      <c r="D71" s="1192" t="s">
        <v>1489</v>
      </c>
      <c r="E71" s="1193" t="s">
        <v>1490</v>
      </c>
      <c r="F71" s="385">
        <f ca="1">F43</f>
        <v>29441.34</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58218</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13" workbookViewId="0">
      <selection activeCell="H18" sqref="H18"/>
    </sheetView>
  </sheetViews>
  <sheetFormatPr defaultRowHeight="13.5"/>
  <cols>
    <col min="1" max="1" width="47.125" customWidth="1"/>
    <col min="2" max="2" width="0" hidden="1" customWidth="1"/>
  </cols>
  <sheetData>
    <row r="1" spans="1:13">
      <c r="A1" s="2995" t="s">
        <v>3256</v>
      </c>
      <c r="B1" s="2995" t="s">
        <v>3257</v>
      </c>
      <c r="C1" s="2995" t="s">
        <v>3258</v>
      </c>
      <c r="D1" s="2995" t="s">
        <v>3259</v>
      </c>
      <c r="E1" s="2995" t="s">
        <v>3260</v>
      </c>
      <c r="F1" s="2995" t="s">
        <v>3261</v>
      </c>
      <c r="G1" s="2995" t="s">
        <v>3262</v>
      </c>
      <c r="H1" s="2995" t="s">
        <v>3263</v>
      </c>
      <c r="I1" s="2995" t="s">
        <v>3264</v>
      </c>
      <c r="J1" s="2995" t="s">
        <v>3265</v>
      </c>
      <c r="K1" s="2995" t="s">
        <v>3266</v>
      </c>
      <c r="L1" s="2995" t="s">
        <v>3267</v>
      </c>
      <c r="M1" s="2995" t="s">
        <v>3268</v>
      </c>
    </row>
    <row r="2" spans="1:13">
      <c r="A2" s="2995" t="s">
        <v>3269</v>
      </c>
      <c r="B2" s="2995" t="s">
        <v>3044</v>
      </c>
      <c r="C2" s="2995" t="s">
        <v>3270</v>
      </c>
      <c r="D2" s="2995">
        <v>122262</v>
      </c>
      <c r="E2" s="2995">
        <v>285496</v>
      </c>
      <c r="F2" s="2995">
        <v>2.335</v>
      </c>
      <c r="G2" s="2995" t="s">
        <v>3271</v>
      </c>
      <c r="H2" s="2995" t="s">
        <v>3272</v>
      </c>
      <c r="I2" s="2995">
        <v>328500</v>
      </c>
      <c r="J2" s="2995">
        <v>328500</v>
      </c>
      <c r="K2" s="2995">
        <v>11506.29</v>
      </c>
      <c r="L2" s="2995">
        <v>0</v>
      </c>
      <c r="M2" s="2995" t="s">
        <v>3273</v>
      </c>
    </row>
    <row r="3" spans="1:13">
      <c r="A3" s="2995" t="s">
        <v>3274</v>
      </c>
      <c r="B3" s="2995" t="s">
        <v>3044</v>
      </c>
      <c r="C3" s="2995" t="s">
        <v>3270</v>
      </c>
      <c r="D3" s="2995">
        <v>71022.78</v>
      </c>
      <c r="E3" s="2995">
        <v>170414</v>
      </c>
      <c r="F3" s="2995">
        <v>2.4</v>
      </c>
      <c r="G3" s="2995" t="s">
        <v>3271</v>
      </c>
      <c r="H3" s="2995" t="s">
        <v>3275</v>
      </c>
      <c r="I3" s="2995">
        <v>450000</v>
      </c>
      <c r="J3" s="2995">
        <v>648000</v>
      </c>
      <c r="K3" s="2995">
        <v>38025.040000000001</v>
      </c>
      <c r="L3" s="2995">
        <v>44</v>
      </c>
      <c r="M3" s="2995" t="s">
        <v>3276</v>
      </c>
    </row>
    <row r="4" spans="1:13">
      <c r="A4" s="2995" t="s">
        <v>3277</v>
      </c>
      <c r="B4" s="2995" t="s">
        <v>3044</v>
      </c>
      <c r="C4" s="2995" t="s">
        <v>3278</v>
      </c>
      <c r="D4" s="2995">
        <v>66465.42</v>
      </c>
      <c r="E4" s="2995">
        <v>99698</v>
      </c>
      <c r="F4" s="2995">
        <v>1.5</v>
      </c>
      <c r="G4" s="2995" t="s">
        <v>3271</v>
      </c>
      <c r="H4" s="2995" t="s">
        <v>3279</v>
      </c>
      <c r="I4" s="2995">
        <v>185000</v>
      </c>
      <c r="J4" s="2995">
        <v>190000</v>
      </c>
      <c r="K4" s="2995">
        <v>19057.54</v>
      </c>
      <c r="L4" s="2995">
        <v>2.7</v>
      </c>
      <c r="M4" s="2995" t="s">
        <v>3273</v>
      </c>
    </row>
    <row r="5" spans="1:13">
      <c r="A5" s="2995" t="s">
        <v>3280</v>
      </c>
      <c r="B5" s="2995" t="s">
        <v>3044</v>
      </c>
      <c r="C5" s="2995" t="s">
        <v>3278</v>
      </c>
      <c r="D5" s="2995">
        <v>30890.99</v>
      </c>
      <c r="E5" s="2995">
        <v>67960</v>
      </c>
      <c r="F5" s="2995">
        <v>2.2000000000000002</v>
      </c>
      <c r="G5" s="2995" t="s">
        <v>3271</v>
      </c>
      <c r="H5" s="2995" t="s">
        <v>3281</v>
      </c>
      <c r="I5" s="2995">
        <v>160000</v>
      </c>
      <c r="J5" s="2995">
        <v>238000</v>
      </c>
      <c r="K5" s="2995">
        <v>35020.589999999997</v>
      </c>
      <c r="L5" s="2995">
        <v>48.75</v>
      </c>
      <c r="M5" s="2995" t="s">
        <v>3282</v>
      </c>
    </row>
    <row r="6" spans="1:13">
      <c r="A6" s="2995" t="s">
        <v>3283</v>
      </c>
      <c r="B6" s="2995" t="s">
        <v>3044</v>
      </c>
      <c r="C6" s="2995" t="s">
        <v>3270</v>
      </c>
      <c r="D6" s="2995">
        <v>101259.5</v>
      </c>
      <c r="E6" s="2995">
        <v>202324</v>
      </c>
      <c r="F6" s="2995">
        <v>2</v>
      </c>
      <c r="G6" s="2995" t="s">
        <v>3271</v>
      </c>
      <c r="H6" s="2995" t="s">
        <v>3284</v>
      </c>
      <c r="I6" s="2995">
        <v>370000</v>
      </c>
      <c r="J6" s="2995">
        <v>395000</v>
      </c>
      <c r="K6" s="2995">
        <v>19523.13</v>
      </c>
      <c r="L6" s="2995">
        <v>6.76</v>
      </c>
      <c r="M6" s="2995" t="s">
        <v>3285</v>
      </c>
    </row>
    <row r="7" spans="1:13" s="2997" customFormat="1">
      <c r="A7" s="2996" t="s">
        <v>3286</v>
      </c>
      <c r="B7" s="2996" t="s">
        <v>3044</v>
      </c>
      <c r="C7" s="2996" t="s">
        <v>3278</v>
      </c>
      <c r="D7" s="2996">
        <v>44353.34</v>
      </c>
      <c r="E7" s="2996">
        <v>97577</v>
      </c>
      <c r="F7" s="2996">
        <v>2.2000000000000002</v>
      </c>
      <c r="G7" s="2996" t="s">
        <v>3271</v>
      </c>
      <c r="H7" s="2996" t="s">
        <v>3287</v>
      </c>
      <c r="I7" s="2996">
        <v>175000</v>
      </c>
      <c r="J7" s="2996">
        <v>222000</v>
      </c>
      <c r="K7" s="2996">
        <v>22751.25</v>
      </c>
      <c r="L7" s="2996">
        <v>26.86</v>
      </c>
      <c r="M7" s="2996" t="s">
        <v>3288</v>
      </c>
    </row>
    <row r="8" spans="1:13" s="2997" customFormat="1">
      <c r="A8" s="2996" t="s">
        <v>3289</v>
      </c>
      <c r="B8" s="2996" t="s">
        <v>3044</v>
      </c>
      <c r="C8" s="2996" t="s">
        <v>3270</v>
      </c>
      <c r="D8" s="2996">
        <v>89347.09</v>
      </c>
      <c r="E8" s="2996">
        <v>178694</v>
      </c>
      <c r="F8" s="2996">
        <v>2</v>
      </c>
      <c r="G8" s="2996" t="s">
        <v>3271</v>
      </c>
      <c r="H8" s="2996" t="s">
        <v>3290</v>
      </c>
      <c r="I8" s="2996">
        <v>213000</v>
      </c>
      <c r="J8" s="2996">
        <v>319500</v>
      </c>
      <c r="K8" s="2996">
        <v>17879.72</v>
      </c>
      <c r="L8" s="2996">
        <v>50</v>
      </c>
      <c r="M8" s="2996" t="s">
        <v>3291</v>
      </c>
    </row>
    <row r="9" spans="1:13" s="2997" customFormat="1">
      <c r="A9" s="2996" t="s">
        <v>3292</v>
      </c>
      <c r="B9" s="2996" t="s">
        <v>3044</v>
      </c>
      <c r="C9" s="2996" t="s">
        <v>3270</v>
      </c>
      <c r="D9" s="2996">
        <v>83732.679999999993</v>
      </c>
      <c r="E9" s="2996">
        <v>167465</v>
      </c>
      <c r="F9" s="2996">
        <v>2</v>
      </c>
      <c r="G9" s="2996" t="s">
        <v>3271</v>
      </c>
      <c r="H9" s="2996" t="s">
        <v>3290</v>
      </c>
      <c r="I9" s="2996">
        <v>200000</v>
      </c>
      <c r="J9" s="2996">
        <v>300000</v>
      </c>
      <c r="K9" s="2996">
        <v>17914.18</v>
      </c>
      <c r="L9" s="2996">
        <v>50</v>
      </c>
      <c r="M9" s="2996" t="s">
        <v>3291</v>
      </c>
    </row>
    <row r="10" spans="1:13">
      <c r="A10" s="2995" t="s">
        <v>3293</v>
      </c>
      <c r="B10" s="2995" t="s">
        <v>3044</v>
      </c>
      <c r="C10" s="2995" t="s">
        <v>3270</v>
      </c>
      <c r="D10" s="2995">
        <v>52140.02</v>
      </c>
      <c r="E10" s="2995">
        <v>83940</v>
      </c>
      <c r="F10" s="2995">
        <v>1.6</v>
      </c>
      <c r="G10" s="2995" t="s">
        <v>3271</v>
      </c>
      <c r="H10" s="2995" t="s">
        <v>3294</v>
      </c>
      <c r="I10" s="2995">
        <v>50450</v>
      </c>
      <c r="J10" s="2995">
        <v>50450</v>
      </c>
      <c r="K10" s="2995">
        <v>6010.25</v>
      </c>
      <c r="L10" s="2995">
        <v>0</v>
      </c>
      <c r="M10" s="2995" t="s">
        <v>3295</v>
      </c>
    </row>
    <row r="11" spans="1:13">
      <c r="A11" s="2995" t="s">
        <v>3296</v>
      </c>
      <c r="B11" s="2995" t="s">
        <v>3044</v>
      </c>
      <c r="C11" s="2995" t="s">
        <v>3270</v>
      </c>
      <c r="D11" s="2995">
        <v>42685.77</v>
      </c>
      <c r="E11" s="2995">
        <v>124350</v>
      </c>
      <c r="F11" s="2995">
        <v>2.91</v>
      </c>
      <c r="G11" s="2995" t="s">
        <v>3271</v>
      </c>
      <c r="H11" s="2995" t="s">
        <v>3297</v>
      </c>
      <c r="I11" s="2995">
        <v>126100</v>
      </c>
      <c r="J11" s="2995">
        <v>172000</v>
      </c>
      <c r="K11" s="2995">
        <v>13831.93</v>
      </c>
      <c r="L11" s="2995">
        <v>36.4</v>
      </c>
      <c r="M11" s="2995" t="s">
        <v>3298</v>
      </c>
    </row>
    <row r="12" spans="1:13">
      <c r="A12" s="2995" t="s">
        <v>3299</v>
      </c>
      <c r="B12" s="2995" t="s">
        <v>3044</v>
      </c>
      <c r="C12" s="2995" t="s">
        <v>3270</v>
      </c>
      <c r="D12" s="2995">
        <v>90996.11</v>
      </c>
      <c r="E12" s="2995">
        <v>343161</v>
      </c>
      <c r="F12" s="2995">
        <v>3.77</v>
      </c>
      <c r="G12" s="2995" t="s">
        <v>3271</v>
      </c>
      <c r="H12" s="2995" t="s">
        <v>3297</v>
      </c>
      <c r="I12" s="2995">
        <v>330000</v>
      </c>
      <c r="J12" s="2995">
        <v>330000</v>
      </c>
      <c r="K12" s="2995">
        <v>9616.4699999999993</v>
      </c>
      <c r="L12" s="2995">
        <v>0</v>
      </c>
      <c r="M12" s="2995" t="s">
        <v>3298</v>
      </c>
    </row>
    <row r="13" spans="1:13">
      <c r="A13" s="2995" t="s">
        <v>3300</v>
      </c>
      <c r="B13" s="2995" t="s">
        <v>3044</v>
      </c>
      <c r="C13" s="2995" t="s">
        <v>3270</v>
      </c>
      <c r="D13" s="2995">
        <v>73293.58</v>
      </c>
      <c r="E13" s="2995">
        <v>143980</v>
      </c>
      <c r="F13" s="2995">
        <v>1.96</v>
      </c>
      <c r="G13" s="2995" t="s">
        <v>3271</v>
      </c>
      <c r="H13" s="2995" t="s">
        <v>3301</v>
      </c>
      <c r="I13" s="2995">
        <v>131500</v>
      </c>
      <c r="J13" s="2995">
        <v>197200</v>
      </c>
      <c r="K13" s="2995">
        <v>13696.35</v>
      </c>
      <c r="L13" s="2995">
        <v>49.96</v>
      </c>
      <c r="M13" s="2995" t="s">
        <v>3302</v>
      </c>
    </row>
    <row r="14" spans="1:13">
      <c r="A14" s="2995" t="s">
        <v>3303</v>
      </c>
      <c r="B14" s="2995" t="s">
        <v>3044</v>
      </c>
      <c r="C14" s="2995" t="s">
        <v>3270</v>
      </c>
      <c r="D14" s="2995">
        <v>94198.62</v>
      </c>
      <c r="E14" s="2995">
        <v>187481</v>
      </c>
      <c r="F14" s="2995">
        <v>2</v>
      </c>
      <c r="G14" s="2995" t="s">
        <v>3271</v>
      </c>
      <c r="H14" s="2995" t="s">
        <v>3301</v>
      </c>
      <c r="I14" s="2995">
        <v>168300</v>
      </c>
      <c r="J14" s="2995">
        <v>252400</v>
      </c>
      <c r="K14" s="2995">
        <v>13462.7</v>
      </c>
      <c r="L14" s="2995">
        <v>49.97</v>
      </c>
      <c r="M14" s="2995" t="s">
        <v>3302</v>
      </c>
    </row>
    <row r="15" spans="1:13">
      <c r="A15" s="2995" t="s">
        <v>3304</v>
      </c>
      <c r="B15" s="2995" t="s">
        <v>3044</v>
      </c>
      <c r="C15" s="2995" t="s">
        <v>3270</v>
      </c>
      <c r="D15" s="2995">
        <v>48775.519999999997</v>
      </c>
      <c r="E15" s="2995">
        <v>121939</v>
      </c>
      <c r="F15" s="2995">
        <v>2.5</v>
      </c>
      <c r="G15" s="2995" t="s">
        <v>3271</v>
      </c>
      <c r="H15" s="2995" t="s">
        <v>3305</v>
      </c>
      <c r="I15" s="2995">
        <v>95000</v>
      </c>
      <c r="J15" s="2995">
        <v>142500</v>
      </c>
      <c r="K15" s="2995">
        <v>11686.17</v>
      </c>
      <c r="L15" s="2995">
        <v>50</v>
      </c>
      <c r="M15" s="2995" t="s">
        <v>3306</v>
      </c>
    </row>
    <row r="16" spans="1:13">
      <c r="A16" s="2995" t="s">
        <v>3307</v>
      </c>
      <c r="B16" s="2995" t="s">
        <v>3044</v>
      </c>
      <c r="C16" s="2995" t="s">
        <v>3270</v>
      </c>
      <c r="D16" s="2995">
        <v>83892.99</v>
      </c>
      <c r="E16" s="2995">
        <v>209732</v>
      </c>
      <c r="F16" s="2995">
        <v>2.5</v>
      </c>
      <c r="G16" s="2995" t="s">
        <v>3271</v>
      </c>
      <c r="H16" s="2995" t="s">
        <v>3305</v>
      </c>
      <c r="I16" s="2995">
        <v>185000</v>
      </c>
      <c r="J16" s="2995">
        <v>277500</v>
      </c>
      <c r="K16" s="2995">
        <v>13231.17</v>
      </c>
      <c r="L16" s="2995">
        <v>50</v>
      </c>
      <c r="M16" s="2995" t="s">
        <v>3308</v>
      </c>
    </row>
    <row r="19" spans="8:8">
      <c r="H19" s="2998" t="s">
        <v>3309</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1642</v>
      </c>
      <c r="B2" s="3117" t="s">
        <v>1643</v>
      </c>
      <c r="C2" s="3117" t="s">
        <v>1644</v>
      </c>
      <c r="D2" s="3117" t="str">
        <f>结果表!D116</f>
        <v>出让国有建设用地使用权价值</v>
      </c>
      <c r="E2" s="3117"/>
      <c r="F2" s="3117" t="str">
        <f>结果表!F116</f>
        <v>在建建筑物价值</v>
      </c>
      <c r="G2" s="3117"/>
      <c r="H2" s="3117" t="str">
        <f>IF(项目基本情况!B9="房地产市场价值","房地产市场价值","房地产价值")</f>
        <v>房地产价值</v>
      </c>
      <c r="I2" s="3117"/>
    </row>
    <row r="3" spans="1:9" ht="15">
      <c r="A3" s="3118"/>
      <c r="B3" s="3118"/>
      <c r="C3" s="3118"/>
      <c r="D3" s="1044" t="s">
        <v>1639</v>
      </c>
      <c r="E3" s="1044" t="s">
        <v>1645</v>
      </c>
      <c r="F3" s="1044" t="s">
        <v>1639</v>
      </c>
      <c r="G3" s="1044" t="s">
        <v>1640</v>
      </c>
      <c r="H3" s="1044" t="s">
        <v>1639</v>
      </c>
      <c r="I3" s="1044" t="s">
        <v>1640</v>
      </c>
    </row>
    <row r="4" spans="1:9" ht="45">
      <c r="A4" s="1973" t="str">
        <f>项目基本情况!S2</f>
        <v>北京市昌平区北七家镇GZT-05-1地块出让国有建设用地使用权及在建建筑物房地产</v>
      </c>
      <c r="B4" s="1044">
        <f>项目基本情况!C17</f>
        <v>117348.15999999993</v>
      </c>
      <c r="C4" s="1044">
        <f>项目基本情况!C18</f>
        <v>31136.97</v>
      </c>
      <c r="D4" s="1044">
        <f ca="1">结果表!D118</f>
        <v>239448</v>
      </c>
      <c r="E4" s="1044">
        <f ca="1">结果表!E118</f>
        <v>20405</v>
      </c>
      <c r="F4" s="1044">
        <f ca="1">结果表!F118</f>
        <v>32343</v>
      </c>
      <c r="G4" s="1044">
        <f ca="1">结果表!G118</f>
        <v>2756</v>
      </c>
      <c r="H4" s="1044">
        <f ca="1">结果表!H118</f>
        <v>271791</v>
      </c>
      <c r="I4" s="1044">
        <f ca="1">结果表!I118</f>
        <v>23161</v>
      </c>
    </row>
    <row r="5" spans="1:9" ht="30" customHeight="1">
      <c r="A5" s="3118" t="s">
        <v>1641</v>
      </c>
      <c r="B5" s="3118"/>
      <c r="C5" s="3118"/>
      <c r="D5" s="3119" t="str">
        <f ca="1">结果表!D119</f>
        <v>贰拾叁亿玖仟肆佰肆拾捌万元整</v>
      </c>
      <c r="E5" s="3119"/>
      <c r="F5" s="3119" t="str">
        <f ca="1">结果表!F119</f>
        <v>叁亿贰仟叁佰肆拾叁万元整</v>
      </c>
      <c r="G5" s="3119"/>
      <c r="H5" s="3119" t="str">
        <f ca="1">结果表!H119</f>
        <v>贰拾柒亿壹仟柒佰玖拾壹万元整</v>
      </c>
      <c r="I5" s="3119"/>
    </row>
    <row r="6" spans="1:9" ht="15.75">
      <c r="A6" s="3120" t="str">
        <f>结果表!A120</f>
        <v>估价师知悉的法定优先受偿款</v>
      </c>
      <c r="B6" s="3120"/>
      <c r="C6" s="3120"/>
      <c r="D6" s="3120">
        <f>结果表!D120</f>
        <v>0</v>
      </c>
      <c r="E6" s="3120"/>
      <c r="F6" s="3120"/>
      <c r="G6" s="3120"/>
      <c r="H6" s="3120"/>
      <c r="I6" s="3120"/>
    </row>
    <row r="7" spans="1:9" ht="15">
      <c r="A7" s="3118" t="s">
        <v>1641</v>
      </c>
      <c r="B7" s="3118"/>
      <c r="C7" s="3118"/>
      <c r="D7" s="3121" t="str">
        <f>结果表!D121</f>
        <v>零元整</v>
      </c>
      <c r="E7" s="3122"/>
      <c r="F7" s="3122"/>
      <c r="G7" s="3122"/>
      <c r="H7" s="3122"/>
      <c r="I7" s="3123"/>
    </row>
    <row r="8" spans="1:9" ht="15.75">
      <c r="A8" s="3120" t="str">
        <f>结果表!A122</f>
        <v>房地产抵押价值</v>
      </c>
      <c r="B8" s="3120"/>
      <c r="C8" s="3120"/>
      <c r="D8" s="3120">
        <f ca="1">结果表!D122</f>
        <v>271791</v>
      </c>
      <c r="E8" s="3120"/>
      <c r="F8" s="3120"/>
      <c r="G8" s="3120"/>
      <c r="H8" s="3120"/>
      <c r="I8" s="3120"/>
    </row>
    <row r="9" spans="1:9" ht="15">
      <c r="A9" s="3118" t="s">
        <v>1641</v>
      </c>
      <c r="B9" s="3118"/>
      <c r="C9" s="3118"/>
      <c r="D9" s="3119" t="str">
        <f ca="1">结果表!D123</f>
        <v>贰拾柒亿壹仟柒佰玖拾壹万元整</v>
      </c>
      <c r="E9" s="3119"/>
      <c r="F9" s="3119"/>
      <c r="G9" s="3119"/>
      <c r="H9" s="3119"/>
      <c r="I9" s="3119"/>
    </row>
    <row r="10" spans="1:9" ht="15.75">
      <c r="A10" s="3120" t="str">
        <f>结果表!A124</f>
        <v/>
      </c>
      <c r="B10" s="3120"/>
      <c r="C10" s="3120"/>
      <c r="D10" s="3120" t="str">
        <f>结果表!D124</f>
        <v>——</v>
      </c>
      <c r="E10" s="3120"/>
      <c r="F10" s="3120"/>
      <c r="G10" s="3120"/>
      <c r="H10" s="3120"/>
      <c r="I10" s="3120"/>
    </row>
    <row r="11" spans="1:9" ht="15">
      <c r="A11" s="3118" t="s">
        <v>1641</v>
      </c>
      <c r="B11" s="3118"/>
      <c r="C11" s="3118"/>
      <c r="D11" s="3119" t="e">
        <f>结果表!D125</f>
        <v>#VALUE!</v>
      </c>
      <c r="E11" s="3119"/>
      <c r="F11" s="3119"/>
      <c r="G11" s="3119"/>
      <c r="H11" s="3119"/>
      <c r="I11" s="3119"/>
    </row>
    <row r="12" spans="1:9" ht="15.75">
      <c r="A12" s="3120" t="str">
        <f>结果表!A126</f>
        <v/>
      </c>
      <c r="B12" s="3120"/>
      <c r="C12" s="3120"/>
      <c r="D12" s="3120" t="str">
        <f>结果表!D126</f>
        <v>——</v>
      </c>
      <c r="E12" s="3120"/>
      <c r="F12" s="3120"/>
      <c r="G12" s="3120"/>
      <c r="H12" s="3120"/>
      <c r="I12" s="3120"/>
    </row>
    <row r="13" spans="1:9" ht="15.75" thickBot="1">
      <c r="A13" s="3124" t="s">
        <v>1641</v>
      </c>
      <c r="B13" s="3124"/>
      <c r="C13" s="3124"/>
      <c r="D13" s="3125" t="e">
        <f>结果表!D127</f>
        <v>#VALUE!</v>
      </c>
      <c r="E13" s="3125"/>
      <c r="F13" s="3125"/>
      <c r="G13" s="3125"/>
      <c r="H13" s="3125"/>
      <c r="I13" s="3125"/>
    </row>
    <row r="14" spans="1:9" ht="15" thickTop="1">
      <c r="A14" s="3126" t="s">
        <v>1646</v>
      </c>
      <c r="B14" s="3126"/>
      <c r="C14" s="3126"/>
      <c r="D14" s="3126"/>
      <c r="E14" s="3126"/>
      <c r="F14" s="3126"/>
      <c r="G14" s="3126"/>
      <c r="H14" s="3126"/>
      <c r="I14" s="3126"/>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5" sqref="R25"/>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workbookViewId="0">
      <selection activeCell="H8" sqref="H8"/>
    </sheetView>
  </sheetViews>
  <sheetFormatPr defaultRowHeight="19.5" customHeight="1"/>
  <cols>
    <col min="1" max="1" width="5.125" style="3020" customWidth="1"/>
    <col min="2" max="2" width="18" style="3020" customWidth="1"/>
    <col min="3" max="4" width="13.25" style="3020" customWidth="1"/>
    <col min="5" max="5" width="10.75" style="3041" customWidth="1"/>
    <col min="6" max="6" width="11.75" style="3020" customWidth="1"/>
    <col min="7" max="7" width="15.625" style="3020" customWidth="1"/>
    <col min="8" max="8" width="11.75" style="3020" customWidth="1"/>
    <col min="9" max="9" width="20" style="3020" customWidth="1"/>
    <col min="10" max="16384" width="9" style="3020"/>
  </cols>
  <sheetData>
    <row r="1" spans="1:10" ht="12.75" thickBot="1">
      <c r="B1" s="3021" t="s">
        <v>3311</v>
      </c>
      <c r="C1" s="3022" t="s">
        <v>3169</v>
      </c>
      <c r="D1" s="3023" t="s">
        <v>3312</v>
      </c>
      <c r="E1" s="3024">
        <f>SUM(E3:E4)</f>
        <v>87010.82</v>
      </c>
      <c r="F1" s="3025">
        <f>F3+F4</f>
        <v>6</v>
      </c>
    </row>
    <row r="2" spans="1:10" ht="22.5">
      <c r="B2" s="3026" t="s">
        <v>3313</v>
      </c>
      <c r="C2" s="3027" t="s">
        <v>3314</v>
      </c>
      <c r="D2" s="3028" t="s">
        <v>3315</v>
      </c>
      <c r="E2" s="3028" t="s">
        <v>3316</v>
      </c>
      <c r="F2" s="3029" t="s">
        <v>3317</v>
      </c>
      <c r="G2" s="3030" t="s">
        <v>3315</v>
      </c>
      <c r="H2" s="3031" t="s">
        <v>3318</v>
      </c>
      <c r="I2" s="3032" t="s">
        <v>3319</v>
      </c>
    </row>
    <row r="3" spans="1:10" ht="12">
      <c r="B3" s="3026" t="s">
        <v>3320</v>
      </c>
      <c r="C3" s="3033">
        <f>D3*10000/E3</f>
        <v>2695.4372750582434</v>
      </c>
      <c r="D3" s="3023">
        <f>D11-D4</f>
        <v>10813</v>
      </c>
      <c r="E3" s="3034">
        <f>'数据-汇总表'!F19</f>
        <v>40115.94</v>
      </c>
      <c r="F3" s="3035">
        <v>4</v>
      </c>
      <c r="G3" s="3036">
        <f>D11-G4</f>
        <v>11936</v>
      </c>
      <c r="H3" s="3037">
        <f>ROUND(G3*10000/E3,0)</f>
        <v>2975</v>
      </c>
    </row>
    <row r="4" spans="1:10" ht="12.75" thickBot="1">
      <c r="B4" s="3038" t="s">
        <v>3321</v>
      </c>
      <c r="C4" s="3039">
        <f>D4*10000/E4</f>
        <v>2889.4412353758021</v>
      </c>
      <c r="D4" s="3040">
        <f>ROUND(D7+(D8+D9)*E4/E1+D13,0)</f>
        <v>13550</v>
      </c>
      <c r="E4" s="3041">
        <f>规证整理!H25+规证整理!J25+规证整理!H45+规证整理!J45+规证整理!H11+规证整理!J11</f>
        <v>46894.880000000005</v>
      </c>
      <c r="F4" s="3042">
        <v>2</v>
      </c>
      <c r="G4" s="3043">
        <f>ROUND((D6+D9)*E4/E1+D13,0)</f>
        <v>12427</v>
      </c>
      <c r="H4" s="3044">
        <f>ROUND(G4*10000/E4,0)</f>
        <v>2650</v>
      </c>
    </row>
    <row r="5" spans="1:10" ht="12">
      <c r="A5" s="3045" t="s">
        <v>3322</v>
      </c>
      <c r="B5" s="3046" t="s">
        <v>3323</v>
      </c>
      <c r="C5" s="3047" t="s">
        <v>3324</v>
      </c>
      <c r="D5" s="3047" t="s">
        <v>3315</v>
      </c>
      <c r="E5" s="3048" t="s">
        <v>3325</v>
      </c>
      <c r="F5" s="3047" t="s">
        <v>3326</v>
      </c>
      <c r="G5" s="3028" t="s">
        <v>3327</v>
      </c>
      <c r="H5" s="3028" t="s">
        <v>3328</v>
      </c>
      <c r="I5" s="3049" t="s">
        <v>3329</v>
      </c>
    </row>
    <row r="6" spans="1:10" ht="12">
      <c r="A6" s="3050" t="s">
        <v>3330</v>
      </c>
      <c r="B6" s="3051" t="s">
        <v>3331</v>
      </c>
      <c r="C6" s="3052">
        <f>C7+C8</f>
        <v>1540</v>
      </c>
      <c r="D6" s="3052">
        <f>D7+D8</f>
        <v>13399.650000000001</v>
      </c>
      <c r="E6" s="3053">
        <f>E7+E8</f>
        <v>0.55000000000000004</v>
      </c>
      <c r="F6" s="3028">
        <f>F7+F8</f>
        <v>13399</v>
      </c>
      <c r="G6" s="3028"/>
      <c r="H6" s="3054">
        <f>H7*E7+H8*E8</f>
        <v>0.55000000000000004</v>
      </c>
      <c r="I6" s="3055"/>
    </row>
    <row r="7" spans="1:10" s="3064" customFormat="1" ht="11.25">
      <c r="A7" s="3056" t="s">
        <v>3332</v>
      </c>
      <c r="B7" s="3057" t="s">
        <v>3333</v>
      </c>
      <c r="C7" s="3058">
        <f>ROUND($C$11*E7,0)</f>
        <v>280</v>
      </c>
      <c r="D7" s="3058">
        <f>$D$11*E7</f>
        <v>2436.3000000000002</v>
      </c>
      <c r="E7" s="3059">
        <v>0.1</v>
      </c>
      <c r="F7" s="3060">
        <f>ROUND(D7*H7,0)</f>
        <v>2436</v>
      </c>
      <c r="G7" s="3061" t="s">
        <v>3334</v>
      </c>
      <c r="H7" s="3062">
        <v>1</v>
      </c>
      <c r="I7" s="3063"/>
    </row>
    <row r="8" spans="1:10" s="3064" customFormat="1" ht="11.25">
      <c r="A8" s="3056" t="s">
        <v>3335</v>
      </c>
      <c r="B8" s="3057" t="s">
        <v>3336</v>
      </c>
      <c r="C8" s="3058">
        <f t="shared" ref="C8:C10" si="0">ROUND($C$11*E8,0)</f>
        <v>1260</v>
      </c>
      <c r="D8" s="3058">
        <f>$D$11*E8</f>
        <v>10963.35</v>
      </c>
      <c r="E8" s="3059">
        <v>0.45</v>
      </c>
      <c r="F8" s="3060">
        <f t="shared" ref="F8:F10" si="1">ROUND(D8*H8,0)</f>
        <v>10963</v>
      </c>
      <c r="G8" s="3061" t="s">
        <v>3337</v>
      </c>
      <c r="H8" s="3065">
        <v>1</v>
      </c>
      <c r="I8" s="3066" t="str">
        <f>"地下造价总额占比为"&amp;TEXT(D4/D11,"0.0%")</f>
        <v>地下造价总额占比为55.6%</v>
      </c>
      <c r="J8" s="3067" t="s">
        <v>3338</v>
      </c>
    </row>
    <row r="9" spans="1:10" ht="12">
      <c r="A9" s="3050" t="s">
        <v>3339</v>
      </c>
      <c r="B9" s="3026" t="s">
        <v>3340</v>
      </c>
      <c r="C9" s="3068">
        <f t="shared" si="0"/>
        <v>840</v>
      </c>
      <c r="D9" s="3068">
        <f>$D$11*E9</f>
        <v>7308.9</v>
      </c>
      <c r="E9" s="3069">
        <v>0.3</v>
      </c>
      <c r="F9" s="3023">
        <f t="shared" si="1"/>
        <v>0</v>
      </c>
      <c r="G9" s="3070"/>
      <c r="H9" s="3071">
        <v>0</v>
      </c>
      <c r="I9" s="3072"/>
    </row>
    <row r="10" spans="1:10" ht="12">
      <c r="A10" s="3050" t="s">
        <v>3341</v>
      </c>
      <c r="B10" s="3021" t="s">
        <v>3342</v>
      </c>
      <c r="C10" s="3068">
        <f t="shared" si="0"/>
        <v>420</v>
      </c>
      <c r="D10" s="3068">
        <f>$D$11*E10</f>
        <v>3654.45</v>
      </c>
      <c r="E10" s="3069">
        <v>0.15</v>
      </c>
      <c r="F10" s="3023">
        <f t="shared" si="1"/>
        <v>0</v>
      </c>
      <c r="G10" s="3073"/>
      <c r="H10" s="3074">
        <v>0</v>
      </c>
      <c r="I10" s="3075"/>
    </row>
    <row r="11" spans="1:10" s="3082" customFormat="1" ht="12.75" thickBot="1">
      <c r="A11" s="3455" t="s">
        <v>3343</v>
      </c>
      <c r="B11" s="3456"/>
      <c r="C11" s="3076">
        <v>2800</v>
      </c>
      <c r="D11" s="3077">
        <f>ROUND(C11*$E$1/10000,0)</f>
        <v>24363</v>
      </c>
      <c r="E11" s="3078">
        <f>SUM(E7:E10)</f>
        <v>1</v>
      </c>
      <c r="F11" s="3077">
        <f>SUM(F7:F10,0)</f>
        <v>13399</v>
      </c>
      <c r="G11" s="3079"/>
      <c r="H11" s="3080">
        <f>ROUND(H7*E7+H8*E8+H9*E9+H10*E10,3)</f>
        <v>0.55000000000000004</v>
      </c>
      <c r="I11" s="3081"/>
    </row>
    <row r="13" spans="1:10" ht="12">
      <c r="B13" s="3023" t="s">
        <v>3344</v>
      </c>
      <c r="C13" s="3034">
        <v>270</v>
      </c>
      <c r="D13" s="3023">
        <f>ROUND(C13*E4/10000,0)</f>
        <v>1266</v>
      </c>
    </row>
    <row r="15" spans="1:10" ht="14.25">
      <c r="B15" s="3083" t="s">
        <v>3345</v>
      </c>
    </row>
    <row r="16" spans="1:10" ht="12">
      <c r="A16" s="3020">
        <v>1</v>
      </c>
      <c r="B16" s="3020" t="s">
        <v>3346</v>
      </c>
    </row>
    <row r="17" spans="1:5" ht="12">
      <c r="A17" s="3020">
        <v>2</v>
      </c>
      <c r="B17" s="3020" t="s">
        <v>3347</v>
      </c>
    </row>
    <row r="18" spans="1:5" ht="12">
      <c r="A18" s="3020">
        <v>3</v>
      </c>
      <c r="B18" s="3020" t="s">
        <v>3348</v>
      </c>
    </row>
    <row r="19" spans="1:5" ht="12">
      <c r="A19" s="3020">
        <v>4</v>
      </c>
      <c r="B19" s="3020" t="s">
        <v>3349</v>
      </c>
    </row>
    <row r="20" spans="1:5" ht="12">
      <c r="A20" s="3020">
        <v>5</v>
      </c>
      <c r="B20" s="3020" t="s">
        <v>3350</v>
      </c>
      <c r="E20" s="3020"/>
    </row>
    <row r="22" spans="1:5" ht="14.25">
      <c r="B22" s="3083" t="s">
        <v>3351</v>
      </c>
    </row>
    <row r="23" spans="1:5" ht="12">
      <c r="A23" s="3020">
        <v>1</v>
      </c>
      <c r="B23" s="3020" t="s">
        <v>3352</v>
      </c>
    </row>
    <row r="24" spans="1:5" ht="12">
      <c r="A24" s="3020">
        <v>2</v>
      </c>
      <c r="B24" s="3020" t="s">
        <v>3353</v>
      </c>
    </row>
    <row r="25" spans="1:5" ht="12">
      <c r="A25" s="3020">
        <v>3</v>
      </c>
      <c r="B25" s="3020" t="s">
        <v>3354</v>
      </c>
    </row>
  </sheetData>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27" t="s">
        <v>1663</v>
      </c>
      <c r="B1" s="3127"/>
      <c r="C1" s="3127"/>
      <c r="D1" s="3127"/>
    </row>
    <row r="2" spans="1:4" ht="18">
      <c r="A2" s="3128" t="s">
        <v>1647</v>
      </c>
      <c r="B2" s="3128"/>
      <c r="C2" s="3128"/>
      <c r="D2" s="3128"/>
    </row>
    <row r="3" spans="1:4" ht="18.75">
      <c r="A3" s="1977" t="s">
        <v>1648</v>
      </c>
      <c r="B3" s="1977" t="s">
        <v>1649</v>
      </c>
      <c r="C3" s="1977" t="s">
        <v>1650</v>
      </c>
      <c r="D3" s="1977" t="s">
        <v>1651</v>
      </c>
    </row>
    <row r="4" spans="1:4" ht="56.25" customHeight="1">
      <c r="A4" s="1978" t="str">
        <f>项目基本情况!B4</f>
        <v>刘梅</v>
      </c>
      <c r="B4" s="1979">
        <f ca="1">项目基本情况!C4</f>
        <v>1120140022</v>
      </c>
      <c r="C4" s="1980"/>
      <c r="D4" s="1981" t="s">
        <v>1652</v>
      </c>
    </row>
    <row r="5" spans="1:4" ht="56.25" customHeight="1">
      <c r="A5" s="1978" t="str">
        <f>项目基本情况!D4</f>
        <v>吴薇</v>
      </c>
      <c r="B5" s="1979">
        <f ca="1">项目基本情况!E4</f>
        <v>1419970001</v>
      </c>
      <c r="C5" s="1982"/>
      <c r="D5" s="1981" t="s">
        <v>1652</v>
      </c>
    </row>
    <row r="6" spans="1:4" ht="18">
      <c r="A6" s="3128" t="s">
        <v>1653</v>
      </c>
      <c r="B6" s="3128"/>
      <c r="C6" s="3128"/>
      <c r="D6" s="3128"/>
    </row>
    <row r="7" spans="1:4" ht="18.75">
      <c r="A7" s="1977" t="s">
        <v>1648</v>
      </c>
      <c r="B7" s="1979" t="s">
        <v>1654</v>
      </c>
      <c r="C7" s="1977" t="s">
        <v>1650</v>
      </c>
      <c r="D7" s="1977" t="s">
        <v>1651</v>
      </c>
    </row>
    <row r="8" spans="1:4" ht="56.25" customHeight="1">
      <c r="A8" s="1983" t="s">
        <v>869</v>
      </c>
      <c r="B8" s="1983" t="s">
        <v>1</v>
      </c>
      <c r="C8" s="1980"/>
      <c r="D8" s="1981" t="s">
        <v>1652</v>
      </c>
    </row>
    <row r="9" spans="1:4">
      <c r="A9" s="728"/>
      <c r="B9" s="728"/>
      <c r="C9" s="728"/>
      <c r="D9" s="728"/>
    </row>
    <row r="10" spans="1:4" ht="18.75">
      <c r="A10" s="1984" t="s">
        <v>1655</v>
      </c>
      <c r="B10" s="728"/>
      <c r="C10" s="728"/>
      <c r="D10" s="728"/>
    </row>
    <row r="11" spans="1:4" ht="30" customHeight="1">
      <c r="A11" s="3129" t="s">
        <v>1656</v>
      </c>
      <c r="B11" s="3130"/>
      <c r="C11" s="3130"/>
      <c r="D11" s="3130"/>
    </row>
    <row r="12" spans="1:4" ht="15.75">
      <c r="A12" s="31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30" t="str">
        <f>IF(项目基本情况!B8="抵押","4.本次评估估价师所知悉的法定优先受偿款情况说明如下：","——")</f>
        <v>4.本次评估估价师所知悉的法定优先受偿款情况说明如下：</v>
      </c>
      <c r="B14" s="3131"/>
      <c r="C14" s="3131"/>
      <c r="D14" s="3131"/>
    </row>
    <row r="15" spans="1:4" ht="42" customHeight="1">
      <c r="A15" s="3130"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3130"/>
      <c r="C15" s="3130"/>
      <c r="D15" s="3130"/>
    </row>
    <row r="16" spans="1:4" ht="30" customHeight="1">
      <c r="A16" s="3133" t="s">
        <v>1657</v>
      </c>
      <c r="B16" s="3133"/>
      <c r="C16" s="3133"/>
      <c r="D16" s="3133"/>
    </row>
    <row r="17" spans="1:4" ht="144" customHeight="1">
      <c r="A17" s="3133" t="s">
        <v>1658</v>
      </c>
      <c r="B17" s="3133"/>
      <c r="C17" s="3133"/>
      <c r="D17" s="3133"/>
    </row>
    <row r="18" spans="1:4" ht="15.75" customHeight="1">
      <c r="A18" s="3130" t="str">
        <f>IF(项目基本情况!B8="抵押",结果表!K120,"——")</f>
        <v>故，本次评估不存在估价师知悉的法定优先受偿款</v>
      </c>
      <c r="B18" s="3130"/>
      <c r="C18" s="3130"/>
      <c r="D18" s="3130"/>
    </row>
    <row r="19" spans="1:4" ht="46.5" customHeight="1">
      <c r="A19" s="31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0"/>
      <c r="C19" s="3130"/>
      <c r="D19" s="3130"/>
    </row>
    <row r="20" spans="1:4" ht="57.75" customHeight="1">
      <c r="A20" s="31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0"/>
      <c r="C20" s="3130"/>
      <c r="D20" s="3130"/>
    </row>
    <row r="21" spans="1:4" ht="57.75" customHeight="1">
      <c r="A21" s="31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4"/>
      <c r="C21" s="3134"/>
      <c r="D21" s="3134"/>
    </row>
    <row r="22" spans="1:4" ht="18.75" customHeight="1">
      <c r="A22" s="3135" t="s">
        <v>1659</v>
      </c>
      <c r="B22" s="3135"/>
      <c r="C22" s="3135"/>
      <c r="D22" s="3135"/>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3132">
        <v>42551</v>
      </c>
      <c r="D31" s="31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3141" t="s">
        <v>1670</v>
      </c>
      <c r="B15" s="3136" t="s">
        <v>136</v>
      </c>
      <c r="C15" s="3137"/>
    </row>
    <row r="16" spans="1:7" ht="13.5">
      <c r="A16" s="3142"/>
      <c r="B16" s="3136" t="s">
        <v>69</v>
      </c>
      <c r="C16" s="3137"/>
    </row>
    <row r="17" spans="1:3" ht="13.5">
      <c r="A17" s="3142"/>
      <c r="B17" s="3139" t="s">
        <v>1671</v>
      </c>
      <c r="C17" s="2000" t="s">
        <v>1670</v>
      </c>
    </row>
    <row r="18" spans="1:3" ht="13.5">
      <c r="A18" s="3142"/>
      <c r="B18" s="3139"/>
      <c r="C18" s="2000" t="s">
        <v>1672</v>
      </c>
    </row>
    <row r="19" spans="1:3" ht="13.5">
      <c r="A19" s="3142"/>
      <c r="B19" s="3139"/>
      <c r="C19" s="2000" t="s">
        <v>1673</v>
      </c>
    </row>
    <row r="20" spans="1:3" ht="13.5">
      <c r="A20" s="3143"/>
      <c r="B20" s="3138" t="s">
        <v>1674</v>
      </c>
      <c r="C20" s="3137"/>
    </row>
    <row r="21" spans="1:3" ht="13.5">
      <c r="A21" s="2001" t="s">
        <v>1675</v>
      </c>
      <c r="B21" s="2002"/>
      <c r="C21" s="2003"/>
    </row>
    <row r="22" spans="1:3" ht="13.5">
      <c r="A22" s="3140" t="s">
        <v>1676</v>
      </c>
      <c r="B22" s="3138" t="s">
        <v>1677</v>
      </c>
      <c r="C22" s="3137"/>
    </row>
    <row r="23" spans="1:3" ht="13.5">
      <c r="A23" s="3140"/>
      <c r="B23" s="3138" t="s">
        <v>1678</v>
      </c>
      <c r="C23" s="3137"/>
    </row>
    <row r="24" spans="1:3" ht="13.5">
      <c r="A24" s="3140"/>
      <c r="B24" s="3138" t="s">
        <v>1679</v>
      </c>
      <c r="C24" s="3137"/>
    </row>
    <row r="25" spans="1:3" ht="13.5">
      <c r="A25" s="3140"/>
      <c r="B25" s="3139" t="s">
        <v>1680</v>
      </c>
      <c r="C25" s="2000" t="s">
        <v>1681</v>
      </c>
    </row>
    <row r="26" spans="1:3" ht="13.5">
      <c r="A26" s="3140"/>
      <c r="B26" s="3139"/>
      <c r="C26" s="2000" t="s">
        <v>1682</v>
      </c>
    </row>
    <row r="27" spans="1:3" ht="13.5">
      <c r="A27" s="3140"/>
      <c r="B27" s="3139"/>
      <c r="C27" s="2000" t="s">
        <v>1683</v>
      </c>
    </row>
    <row r="28" spans="1:3" ht="13.5">
      <c r="A28" s="3140"/>
      <c r="B28" s="3139"/>
      <c r="C28" s="2000" t="s">
        <v>1684</v>
      </c>
    </row>
    <row r="29" spans="1:3" ht="13.5">
      <c r="A29" s="3140"/>
      <c r="B29" s="3139"/>
      <c r="C29" s="2000" t="s">
        <v>1685</v>
      </c>
    </row>
    <row r="30" spans="1:3" ht="13.5">
      <c r="A30" s="3140"/>
      <c r="B30" s="3139"/>
      <c r="C30" s="2000" t="s">
        <v>1686</v>
      </c>
    </row>
    <row r="31" spans="1:3" ht="13.5">
      <c r="A31" s="3140"/>
      <c r="B31" s="3139"/>
      <c r="C31" s="2000" t="s">
        <v>1687</v>
      </c>
    </row>
    <row r="32" spans="1:3" ht="13.5">
      <c r="A32" s="3140"/>
      <c r="B32" s="3139"/>
      <c r="C32" s="2000" t="s">
        <v>1688</v>
      </c>
    </row>
    <row r="33" spans="1:3" ht="13.5">
      <c r="A33" s="3140"/>
      <c r="B33" s="3139"/>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43123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345"/>
      <c r="D12" s="2348"/>
      <c r="E12" s="1022"/>
      <c r="F12" s="1022"/>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1149</v>
      </c>
      <c r="B15" s="1022">
        <v>1120070085</v>
      </c>
      <c r="C15" s="2345">
        <v>43814</v>
      </c>
      <c r="D15" s="2349" t="s">
        <v>1149</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345">
        <v>43304</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1333</v>
      </c>
      <c r="B24" s="1703" t="s">
        <v>1333</v>
      </c>
      <c r="C24" s="2346" t="s">
        <v>1333</v>
      </c>
      <c r="D24" s="2349" t="s">
        <v>1333</v>
      </c>
      <c r="E24" s="1703" t="s">
        <v>1333</v>
      </c>
      <c r="F24" s="1703" t="s">
        <v>1333</v>
      </c>
    </row>
    <row r="25" spans="1:7" ht="24" customHeight="1">
      <c r="A25" s="3144" t="s">
        <v>846</v>
      </c>
      <c r="B25" s="3144"/>
      <c r="C25" s="3144"/>
      <c r="D25" s="3144"/>
      <c r="E25" s="3144"/>
      <c r="F25" s="3144"/>
      <c r="G25" s="3144"/>
    </row>
    <row r="26" spans="1:7" s="1025" customFormat="1" ht="24" customHeight="1">
      <c r="A26" s="3145" t="s">
        <v>847</v>
      </c>
      <c r="B26" s="3145"/>
      <c r="C26" s="3146"/>
      <c r="D26" s="3147" t="s">
        <v>848</v>
      </c>
      <c r="E26" s="3145"/>
      <c r="F26" s="3145"/>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规证整理</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地价</vt:lpstr>
      <vt:lpstr>假设开发法</vt:lpstr>
      <vt:lpstr>比较法-住宅</vt:lpstr>
      <vt:lpstr>收益法（地下仓储）</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收益法（地下车库）</vt:lpstr>
      <vt:lpstr>收益法叠拼车位</vt:lpstr>
      <vt:lpstr>收益法（商品房仓储）</vt:lpstr>
      <vt:lpstr>土地案例及位置</vt:lpstr>
      <vt:lpstr>住宅案例位置</vt:lpstr>
      <vt:lpstr>Sheet1</vt:lpstr>
      <vt:lpstr>估价师及机构信息!Print_Area</vt:lpstr>
      <vt:lpstr>'收益法 (元)'!Print_Area</vt:lpstr>
      <vt:lpstr>'收益法（地下仓储）'!Print_Area</vt:lpstr>
      <vt:lpstr>'收益法（地下车库）'!Print_Area</vt:lpstr>
      <vt:lpstr>'收益法（商品房仓储）'!Print_Area</vt:lpstr>
      <vt:lpstr>收益法叠拼车位!Print_Area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2018-01-23T06:40:52Z</dcterms:modified>
</cp:coreProperties>
</file>